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C35763F0-8F84-40BD-AFBE-FD04B6A4630D}" xr6:coauthVersionLast="47" xr6:coauthVersionMax="47" xr10:uidLastSave="{00000000-0000-0000-0000-000000000000}"/>
  <bookViews>
    <workbookView xWindow="-120" yWindow="-120" windowWidth="29040" windowHeight="15720" tabRatio="500" firstSheet="1" activeTab="4" xr2:uid="{A39E756B-1B97-4561-834D-5AF8FAA6D4BF}"/>
  </bookViews>
  <sheets>
    <sheet name="Tablas" sheetId="1" state="hidden" r:id="rId1"/>
    <sheet name="x" sheetId="2" r:id="rId2"/>
    <sheet name="$xha" sheetId="3" state="hidden" r:id="rId3"/>
    <sheet name="TABLA VI " sheetId="4" state="hidden" r:id="rId4"/>
    <sheet name="ASP" sheetId="5" r:id="rId5"/>
    <sheet name="TASA DE VISADO" sheetId="6" r:id="rId6"/>
  </sheets>
  <externalReferences>
    <externalReference r:id="rId7"/>
    <externalReference r:id="rId8"/>
    <externalReference r:id="rId9"/>
  </externalReferences>
  <definedNames>
    <definedName name="_xlnm.Print_Area" localSheetId="4">ASP!$I$1:$Q$93</definedName>
    <definedName name="EISat1">'[1]ELOY (2)'!#REF!</definedName>
    <definedName name="Excel_BuiltIn__FilterDatabase" localSheetId="2">'$xha'!$A$3:$E$1145</definedName>
    <definedName name="Excel_BuiltIn_Print_Area" localSheetId="4">ASP!$A$15:$Q$93</definedName>
    <definedName name="Excel_BuiltIn_Print_Titles" localSheetId="4">ASP!$3:$9</definedName>
    <definedName name="material">[1]ELOY!$A$8:$G$75</definedName>
    <definedName name="reptec">#REF!</definedName>
    <definedName name="_xlnm.Print_Titles" localSheetId="4">ASP!$3:$9</definedName>
    <definedName name="valorfiscal">[2]EAg!#REF!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5" l="1"/>
  <c r="H19" i="5" s="1"/>
  <c r="Q79" i="5"/>
  <c r="F15" i="5"/>
  <c r="C22" i="2"/>
  <c r="L18" i="5"/>
  <c r="L20" i="5"/>
  <c r="H20" i="5" s="1"/>
  <c r="C6" i="2"/>
  <c r="J14" i="2" s="1"/>
  <c r="K113" i="2"/>
  <c r="K112" i="2"/>
  <c r="J111" i="2"/>
  <c r="M111" i="2" s="1"/>
  <c r="N111" i="2" s="1"/>
  <c r="K105" i="2"/>
  <c r="K104" i="2"/>
  <c r="B104" i="2"/>
  <c r="B106" i="2" s="1"/>
  <c r="K103" i="2"/>
  <c r="E103" i="2"/>
  <c r="K102" i="2"/>
  <c r="E102" i="2"/>
  <c r="K101" i="2"/>
  <c r="K100" i="2"/>
  <c r="K99" i="2"/>
  <c r="K98" i="2"/>
  <c r="K97" i="2"/>
  <c r="C97" i="2"/>
  <c r="F97" i="2" s="1"/>
  <c r="J96" i="2"/>
  <c r="M96" i="2" s="1"/>
  <c r="N96" i="2" s="1"/>
  <c r="C96" i="2"/>
  <c r="F96" i="2" s="1"/>
  <c r="C95" i="2"/>
  <c r="F95" i="2"/>
  <c r="D93" i="2"/>
  <c r="C94" i="2" s="1"/>
  <c r="F94" i="2" s="1"/>
  <c r="O90" i="2"/>
  <c r="N90" i="2"/>
  <c r="S90" i="2" s="1"/>
  <c r="L90" i="2"/>
  <c r="B90" i="2"/>
  <c r="O89" i="2"/>
  <c r="N89" i="2"/>
  <c r="S89" i="2" s="1"/>
  <c r="L89" i="2"/>
  <c r="B89" i="2"/>
  <c r="O88" i="2"/>
  <c r="N88" i="2"/>
  <c r="L88" i="2"/>
  <c r="B88" i="2"/>
  <c r="D88" i="2" s="1"/>
  <c r="O87" i="2"/>
  <c r="N87" i="2"/>
  <c r="S87" i="2" s="1"/>
  <c r="L87" i="2"/>
  <c r="B87" i="2"/>
  <c r="O86" i="2"/>
  <c r="N86" i="2"/>
  <c r="R86" i="2" s="1"/>
  <c r="S86" i="2"/>
  <c r="L86" i="2"/>
  <c r="B86" i="2"/>
  <c r="O85" i="2"/>
  <c r="N85" i="2"/>
  <c r="S85" i="2" s="1"/>
  <c r="L85" i="2"/>
  <c r="O84" i="2"/>
  <c r="N84" i="2"/>
  <c r="S84" i="2" s="1"/>
  <c r="L84" i="2"/>
  <c r="O83" i="2"/>
  <c r="N83" i="2"/>
  <c r="S83" i="2" s="1"/>
  <c r="L83" i="2"/>
  <c r="O82" i="2"/>
  <c r="N82" i="2"/>
  <c r="S82" i="2" s="1"/>
  <c r="L82" i="2"/>
  <c r="B82" i="2"/>
  <c r="O81" i="2"/>
  <c r="N81" i="2"/>
  <c r="L81" i="2"/>
  <c r="B81" i="2"/>
  <c r="O80" i="2"/>
  <c r="N80" i="2"/>
  <c r="S80" i="2" s="1"/>
  <c r="L80" i="2"/>
  <c r="B80" i="2"/>
  <c r="N79" i="2"/>
  <c r="S79" i="2" s="1"/>
  <c r="L79" i="2"/>
  <c r="B79" i="2"/>
  <c r="N78" i="2"/>
  <c r="R78" i="2" s="1"/>
  <c r="L78" i="2"/>
  <c r="B78" i="2"/>
  <c r="D78" i="2" s="1"/>
  <c r="E78" i="2" s="1"/>
  <c r="N77" i="2"/>
  <c r="S77" i="2" s="1"/>
  <c r="L77" i="2"/>
  <c r="N76" i="2"/>
  <c r="S76" i="2" s="1"/>
  <c r="L76" i="2"/>
  <c r="N75" i="2"/>
  <c r="S75" i="2" s="1"/>
  <c r="L75" i="2"/>
  <c r="N74" i="2"/>
  <c r="L74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C59" i="2"/>
  <c r="F59" i="2"/>
  <c r="L58" i="2"/>
  <c r="K58" i="2"/>
  <c r="C58" i="2"/>
  <c r="F58" i="2" s="1"/>
  <c r="L57" i="2"/>
  <c r="C57" i="2"/>
  <c r="F57" i="2" s="1"/>
  <c r="D55" i="2"/>
  <c r="C56" i="2" s="1"/>
  <c r="F56" i="2" s="1"/>
  <c r="J52" i="2"/>
  <c r="J51" i="2"/>
  <c r="J50" i="2"/>
  <c r="D50" i="2"/>
  <c r="C51" i="2" s="1"/>
  <c r="F51" i="2" s="1"/>
  <c r="C48" i="2"/>
  <c r="F93" i="2" s="1"/>
  <c r="G93" i="2" s="1"/>
  <c r="C47" i="2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I46" i="2"/>
  <c r="I45" i="2"/>
  <c r="I44" i="2"/>
  <c r="I43" i="2"/>
  <c r="B43" i="2"/>
  <c r="I42" i="2"/>
  <c r="B42" i="2"/>
  <c r="I41" i="2"/>
  <c r="B41" i="2"/>
  <c r="I40" i="2"/>
  <c r="B40" i="2"/>
  <c r="I39" i="2"/>
  <c r="I38" i="2"/>
  <c r="E38" i="2"/>
  <c r="E39" i="2" s="1"/>
  <c r="I37" i="2"/>
  <c r="I36" i="2"/>
  <c r="E36" i="2"/>
  <c r="B36" i="2"/>
  <c r="I35" i="2"/>
  <c r="B35" i="2"/>
  <c r="I34" i="2"/>
  <c r="B34" i="2"/>
  <c r="I33" i="2"/>
  <c r="B33" i="2"/>
  <c r="I32" i="2"/>
  <c r="E32" i="2"/>
  <c r="E31" i="2"/>
  <c r="E33" i="2" s="1"/>
  <c r="E35" i="2" s="1"/>
  <c r="E37" i="2" s="1"/>
  <c r="J30" i="2"/>
  <c r="J29" i="2"/>
  <c r="J28" i="2"/>
  <c r="J27" i="2"/>
  <c r="J26" i="2"/>
  <c r="J25" i="2"/>
  <c r="L25" i="2" s="1"/>
  <c r="C25" i="2"/>
  <c r="H23" i="2"/>
  <c r="H22" i="2"/>
  <c r="H21" i="2"/>
  <c r="C21" i="2"/>
  <c r="C20" i="2"/>
  <c r="J19" i="2"/>
  <c r="J20" i="2" s="1"/>
  <c r="H20" i="2" s="1"/>
  <c r="C19" i="2"/>
  <c r="O18" i="2"/>
  <c r="J18" i="2"/>
  <c r="C18" i="2"/>
  <c r="J17" i="2"/>
  <c r="C17" i="2"/>
  <c r="N16" i="2"/>
  <c r="J16" i="2"/>
  <c r="J15" i="2"/>
  <c r="C15" i="2"/>
  <c r="C14" i="2"/>
  <c r="J13" i="2"/>
  <c r="C13" i="2"/>
  <c r="J12" i="2"/>
  <c r="C12" i="2"/>
  <c r="J11" i="2"/>
  <c r="J10" i="2"/>
  <c r="N7" i="2"/>
  <c r="M7" i="2"/>
  <c r="L7" i="2"/>
  <c r="K7" i="2"/>
  <c r="J7" i="2"/>
  <c r="J5" i="2"/>
  <c r="J9" i="2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F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F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F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Q18" i="5"/>
  <c r="Q19" i="5"/>
  <c r="M19" i="5" s="1"/>
  <c r="Q20" i="5"/>
  <c r="M20" i="5" s="1"/>
  <c r="L21" i="5"/>
  <c r="H21" i="5" s="1"/>
  <c r="Q21" i="5"/>
  <c r="M21" i="5" s="1"/>
  <c r="L22" i="5"/>
  <c r="H22" i="5" s="1"/>
  <c r="Q22" i="5"/>
  <c r="M22" i="5" s="1"/>
  <c r="L23" i="5"/>
  <c r="H23" i="5" s="1"/>
  <c r="Q23" i="5"/>
  <c r="M23" i="5" s="1"/>
  <c r="L24" i="5"/>
  <c r="H24" i="5" s="1"/>
  <c r="Q24" i="5"/>
  <c r="M24" i="5" s="1"/>
  <c r="L25" i="5"/>
  <c r="H25" i="5" s="1"/>
  <c r="Q25" i="5"/>
  <c r="M25" i="5" s="1"/>
  <c r="L26" i="5"/>
  <c r="H26" i="5" s="1"/>
  <c r="Q26" i="5"/>
  <c r="M26" i="5" s="1"/>
  <c r="L27" i="5"/>
  <c r="H27" i="5" s="1"/>
  <c r="Q27" i="5"/>
  <c r="M27" i="5" s="1"/>
  <c r="L28" i="5"/>
  <c r="H28" i="5" s="1"/>
  <c r="Q28" i="5"/>
  <c r="M28" i="5" s="1"/>
  <c r="L29" i="5"/>
  <c r="H29" i="5" s="1"/>
  <c r="Q29" i="5"/>
  <c r="M29" i="5" s="1"/>
  <c r="L30" i="5"/>
  <c r="H30" i="5" s="1"/>
  <c r="Q30" i="5"/>
  <c r="M30" i="5" s="1"/>
  <c r="L31" i="5"/>
  <c r="H31" i="5" s="1"/>
  <c r="Q31" i="5"/>
  <c r="M31" i="5" s="1"/>
  <c r="L32" i="5"/>
  <c r="H32" i="5" s="1"/>
  <c r="Q32" i="5"/>
  <c r="M32" i="5" s="1"/>
  <c r="L33" i="5"/>
  <c r="H33" i="5" s="1"/>
  <c r="Q33" i="5"/>
  <c r="M33" i="5" s="1"/>
  <c r="L34" i="5"/>
  <c r="H34" i="5" s="1"/>
  <c r="Q34" i="5"/>
  <c r="M34" i="5" s="1"/>
  <c r="L35" i="5"/>
  <c r="H35" i="5" s="1"/>
  <c r="Q35" i="5"/>
  <c r="M35" i="5" s="1"/>
  <c r="L36" i="5"/>
  <c r="H36" i="5" s="1"/>
  <c r="Q36" i="5"/>
  <c r="M36" i="5" s="1"/>
  <c r="L37" i="5"/>
  <c r="H37" i="5" s="1"/>
  <c r="Q37" i="5"/>
  <c r="M37" i="5" s="1"/>
  <c r="L38" i="5"/>
  <c r="H38" i="5" s="1"/>
  <c r="Q38" i="5"/>
  <c r="M38" i="5" s="1"/>
  <c r="L39" i="5"/>
  <c r="H39" i="5" s="1"/>
  <c r="Q39" i="5"/>
  <c r="M39" i="5" s="1"/>
  <c r="L40" i="5"/>
  <c r="H40" i="5" s="1"/>
  <c r="Q40" i="5"/>
  <c r="M40" i="5" s="1"/>
  <c r="L41" i="5"/>
  <c r="H41" i="5" s="1"/>
  <c r="Q41" i="5"/>
  <c r="M41" i="5" s="1"/>
  <c r="L42" i="5"/>
  <c r="H42" i="5" s="1"/>
  <c r="Q42" i="5"/>
  <c r="M42" i="5" s="1"/>
  <c r="L43" i="5"/>
  <c r="H43" i="5" s="1"/>
  <c r="Q43" i="5"/>
  <c r="M43" i="5" s="1"/>
  <c r="L44" i="5"/>
  <c r="H44" i="5" s="1"/>
  <c r="Q44" i="5"/>
  <c r="M44" i="5" s="1"/>
  <c r="L45" i="5"/>
  <c r="H45" i="5" s="1"/>
  <c r="Q45" i="5"/>
  <c r="M45" i="5" s="1"/>
  <c r="L46" i="5"/>
  <c r="H46" i="5" s="1"/>
  <c r="Q46" i="5"/>
  <c r="M46" i="5" s="1"/>
  <c r="L47" i="5"/>
  <c r="H47" i="5" s="1"/>
  <c r="Q47" i="5"/>
  <c r="M47" i="5" s="1"/>
  <c r="L48" i="5"/>
  <c r="H48" i="5" s="1"/>
  <c r="Q48" i="5"/>
  <c r="M48" i="5" s="1"/>
  <c r="L49" i="5"/>
  <c r="H49" i="5" s="1"/>
  <c r="Q49" i="5"/>
  <c r="M49" i="5" s="1"/>
  <c r="L50" i="5"/>
  <c r="H50" i="5" s="1"/>
  <c r="Q50" i="5"/>
  <c r="M50" i="5" s="1"/>
  <c r="L51" i="5"/>
  <c r="H51" i="5" s="1"/>
  <c r="Q51" i="5"/>
  <c r="M51" i="5" s="1"/>
  <c r="L52" i="5"/>
  <c r="H52" i="5" s="1"/>
  <c r="Q52" i="5"/>
  <c r="M52" i="5" s="1"/>
  <c r="L53" i="5"/>
  <c r="H53" i="5" s="1"/>
  <c r="Q53" i="5"/>
  <c r="M53" i="5" s="1"/>
  <c r="L54" i="5"/>
  <c r="H54" i="5" s="1"/>
  <c r="Q54" i="5"/>
  <c r="M54" i="5" s="1"/>
  <c r="L55" i="5"/>
  <c r="H55" i="5" s="1"/>
  <c r="Q55" i="5"/>
  <c r="M55" i="5" s="1"/>
  <c r="L56" i="5"/>
  <c r="H56" i="5" s="1"/>
  <c r="Q56" i="5"/>
  <c r="M56" i="5" s="1"/>
  <c r="L57" i="5"/>
  <c r="H57" i="5" s="1"/>
  <c r="Q57" i="5"/>
  <c r="M57" i="5" s="1"/>
  <c r="L58" i="5"/>
  <c r="H58" i="5" s="1"/>
  <c r="Q58" i="5"/>
  <c r="M58" i="5" s="1"/>
  <c r="L59" i="5"/>
  <c r="H59" i="5" s="1"/>
  <c r="Q59" i="5"/>
  <c r="M59" i="5" s="1"/>
  <c r="L60" i="5"/>
  <c r="H60" i="5" s="1"/>
  <c r="Q60" i="5"/>
  <c r="M60" i="5" s="1"/>
  <c r="L61" i="5"/>
  <c r="H61" i="5" s="1"/>
  <c r="Q61" i="5"/>
  <c r="M61" i="5" s="1"/>
  <c r="L62" i="5"/>
  <c r="H62" i="5" s="1"/>
  <c r="Q62" i="5"/>
  <c r="M62" i="5" s="1"/>
  <c r="L63" i="5"/>
  <c r="H63" i="5" s="1"/>
  <c r="Q63" i="5"/>
  <c r="M63" i="5" s="1"/>
  <c r="L64" i="5"/>
  <c r="H64" i="5" s="1"/>
  <c r="Q64" i="5"/>
  <c r="M64" i="5" s="1"/>
  <c r="L65" i="5"/>
  <c r="H65" i="5" s="1"/>
  <c r="Q65" i="5"/>
  <c r="M65" i="5" s="1"/>
  <c r="L66" i="5"/>
  <c r="H66" i="5" s="1"/>
  <c r="Q66" i="5"/>
  <c r="M66" i="5" s="1"/>
  <c r="L67" i="5"/>
  <c r="H67" i="5" s="1"/>
  <c r="Q67" i="5"/>
  <c r="M67" i="5" s="1"/>
  <c r="L68" i="5"/>
  <c r="H68" i="5" s="1"/>
  <c r="Q68" i="5"/>
  <c r="M68" i="5" s="1"/>
  <c r="L69" i="5"/>
  <c r="H69" i="5" s="1"/>
  <c r="Q69" i="5"/>
  <c r="M69" i="5" s="1"/>
  <c r="L70" i="5"/>
  <c r="H70" i="5" s="1"/>
  <c r="Q70" i="5"/>
  <c r="M70" i="5" s="1"/>
  <c r="L71" i="5"/>
  <c r="H71" i="5" s="1"/>
  <c r="Q71" i="5"/>
  <c r="M71" i="5" s="1"/>
  <c r="L72" i="5"/>
  <c r="H72" i="5" s="1"/>
  <c r="Q72" i="5"/>
  <c r="M72" i="5" s="1"/>
  <c r="L73" i="5"/>
  <c r="H73" i="5" s="1"/>
  <c r="Q73" i="5"/>
  <c r="M73" i="5" s="1"/>
  <c r="L74" i="5"/>
  <c r="H74" i="5" s="1"/>
  <c r="Q74" i="5"/>
  <c r="M74" i="5" s="1"/>
  <c r="L75" i="5"/>
  <c r="H75" i="5" s="1"/>
  <c r="Q75" i="5"/>
  <c r="M75" i="5" s="1"/>
  <c r="L76" i="5"/>
  <c r="H76" i="5" s="1"/>
  <c r="Q76" i="5"/>
  <c r="M76" i="5" s="1"/>
  <c r="L77" i="5"/>
  <c r="H77" i="5" s="1"/>
  <c r="Q77" i="5"/>
  <c r="M77" i="5" s="1"/>
  <c r="E2" i="4"/>
  <c r="C81" i="4" s="1"/>
  <c r="C14" i="4"/>
  <c r="H43" i="4"/>
  <c r="C67" i="4"/>
  <c r="C95" i="4"/>
  <c r="C141" i="4"/>
  <c r="C149" i="4"/>
  <c r="C168" i="4"/>
  <c r="C171" i="4"/>
  <c r="C177" i="4"/>
  <c r="C217" i="4"/>
  <c r="C232" i="4"/>
  <c r="C243" i="4"/>
  <c r="C244" i="4"/>
  <c r="C255" i="4"/>
  <c r="C263" i="4"/>
  <c r="C267" i="4"/>
  <c r="C275" i="4"/>
  <c r="C287" i="4"/>
  <c r="C292" i="4"/>
  <c r="C295" i="4"/>
  <c r="C299" i="4"/>
  <c r="C305" i="4"/>
  <c r="C315" i="4"/>
  <c r="C316" i="4"/>
  <c r="C317" i="4"/>
  <c r="C321" i="4"/>
  <c r="C322" i="4"/>
  <c r="C327" i="4"/>
  <c r="C329" i="4"/>
  <c r="C330" i="4"/>
  <c r="C331" i="4"/>
  <c r="C338" i="4"/>
  <c r="C339" i="4"/>
  <c r="C340" i="4"/>
  <c r="C341" i="4"/>
  <c r="C342" i="4"/>
  <c r="C343" i="4"/>
  <c r="C350" i="4"/>
  <c r="C351" i="4"/>
  <c r="C352" i="4"/>
  <c r="C353" i="4"/>
  <c r="C354" i="4"/>
  <c r="C355" i="4"/>
  <c r="C358" i="4"/>
  <c r="C359" i="4"/>
  <c r="C363" i="4"/>
  <c r="C364" i="4"/>
  <c r="C365" i="4"/>
  <c r="C366" i="4"/>
  <c r="C369" i="4"/>
  <c r="C370" i="4"/>
  <c r="C371" i="4"/>
  <c r="C373" i="4"/>
  <c r="C376" i="4"/>
  <c r="C377" i="4"/>
  <c r="C379" i="4"/>
  <c r="C380" i="4"/>
  <c r="C381" i="4"/>
  <c r="C382" i="4"/>
  <c r="C383" i="4"/>
  <c r="C385" i="4"/>
  <c r="C386" i="4"/>
  <c r="C389" i="4"/>
  <c r="C390" i="4"/>
  <c r="C391" i="4"/>
  <c r="C392" i="4"/>
  <c r="C393" i="4"/>
  <c r="C394" i="4"/>
  <c r="C395" i="4"/>
  <c r="C397" i="4"/>
  <c r="C398" i="4"/>
  <c r="C399" i="4"/>
  <c r="C401" i="4"/>
  <c r="C402" i="4"/>
  <c r="C403" i="4"/>
  <c r="C404" i="4"/>
  <c r="C406" i="4"/>
  <c r="E2" i="1"/>
  <c r="D85" i="1" s="1"/>
  <c r="D8" i="1"/>
  <c r="D9" i="1"/>
  <c r="D10" i="1" s="1"/>
  <c r="D11" i="1" s="1"/>
  <c r="D12" i="1" s="1"/>
  <c r="F8" i="1"/>
  <c r="F9" i="1" s="1"/>
  <c r="F10" i="1" s="1"/>
  <c r="F11" i="1" s="1"/>
  <c r="F12" i="1" s="1"/>
  <c r="H8" i="1"/>
  <c r="H9" i="1" s="1"/>
  <c r="H10" i="1" s="1"/>
  <c r="H11" i="1" s="1"/>
  <c r="H12" i="1" s="1"/>
  <c r="J8" i="1"/>
  <c r="J9" i="1" s="1"/>
  <c r="J10" i="1" s="1"/>
  <c r="J11" i="1" s="1"/>
  <c r="J12" i="1" s="1"/>
  <c r="L8" i="1"/>
  <c r="L9" i="1"/>
  <c r="L10" i="1" s="1"/>
  <c r="L11" i="1" s="1"/>
  <c r="L12" i="1" s="1"/>
  <c r="D17" i="1"/>
  <c r="F17" i="1"/>
  <c r="F18" i="1" s="1"/>
  <c r="F19" i="1" s="1"/>
  <c r="F20" i="1" s="1"/>
  <c r="F21" i="1" s="1"/>
  <c r="H17" i="1"/>
  <c r="H18" i="1" s="1"/>
  <c r="H19" i="1" s="1"/>
  <c r="H20" i="1"/>
  <c r="H21" i="1" s="1"/>
  <c r="J17" i="1"/>
  <c r="J18" i="1" s="1"/>
  <c r="J19" i="1" s="1"/>
  <c r="J20" i="1" s="1"/>
  <c r="J21" i="1" s="1"/>
  <c r="L17" i="1"/>
  <c r="L18" i="1"/>
  <c r="L19" i="1" s="1"/>
  <c r="L20" i="1" s="1"/>
  <c r="L21" i="1" s="1"/>
  <c r="D18" i="1"/>
  <c r="D34" i="1"/>
  <c r="H24" i="4"/>
  <c r="H31" i="4"/>
  <c r="C19" i="4"/>
  <c r="H18" i="4"/>
  <c r="H26" i="4"/>
  <c r="C11" i="4"/>
  <c r="C69" i="4"/>
  <c r="H57" i="4"/>
  <c r="H51" i="4"/>
  <c r="H45" i="4"/>
  <c r="H39" i="4"/>
  <c r="H33" i="4"/>
  <c r="H27" i="4"/>
  <c r="H21" i="4"/>
  <c r="C13" i="4"/>
  <c r="C68" i="4"/>
  <c r="C57" i="4"/>
  <c r="C51" i="4"/>
  <c r="C45" i="4"/>
  <c r="C39" i="4"/>
  <c r="C33" i="4"/>
  <c r="C27" i="4"/>
  <c r="C21" i="4"/>
  <c r="C10" i="4"/>
  <c r="H10" i="4"/>
  <c r="H16" i="4"/>
  <c r="H11" i="4"/>
  <c r="C12" i="4"/>
  <c r="C7" i="4"/>
  <c r="H7" i="4"/>
  <c r="H13" i="4"/>
  <c r="H19" i="4"/>
  <c r="C8" i="4"/>
  <c r="H8" i="4"/>
  <c r="H14" i="4"/>
  <c r="C9" i="4"/>
  <c r="C15" i="4"/>
  <c r="H9" i="4"/>
  <c r="C74" i="4"/>
  <c r="C62" i="4"/>
  <c r="C54" i="4"/>
  <c r="C48" i="4"/>
  <c r="C42" i="4"/>
  <c r="C36" i="4"/>
  <c r="C30" i="4"/>
  <c r="C24" i="4"/>
  <c r="H17" i="4"/>
  <c r="C73" i="4"/>
  <c r="C61" i="4"/>
  <c r="H53" i="4"/>
  <c r="H47" i="4"/>
  <c r="H41" i="4"/>
  <c r="H35" i="4"/>
  <c r="H29" i="4"/>
  <c r="H23" i="4"/>
  <c r="C17" i="4"/>
  <c r="C72" i="4"/>
  <c r="C60" i="4"/>
  <c r="C53" i="4"/>
  <c r="C47" i="4"/>
  <c r="C41" i="4"/>
  <c r="C35" i="4"/>
  <c r="C29" i="4"/>
  <c r="C23" i="4"/>
  <c r="C16" i="4"/>
  <c r="C71" i="4"/>
  <c r="C59" i="4"/>
  <c r="H52" i="4"/>
  <c r="H46" i="4"/>
  <c r="H40" i="4"/>
  <c r="H34" i="4"/>
  <c r="H28" i="4"/>
  <c r="H22" i="4"/>
  <c r="H15" i="4"/>
  <c r="C234" i="4"/>
  <c r="C222" i="4"/>
  <c r="C210" i="4"/>
  <c r="C198" i="4"/>
  <c r="C186" i="4"/>
  <c r="C174" i="4"/>
  <c r="C162" i="4"/>
  <c r="C150" i="4"/>
  <c r="C138" i="4"/>
  <c r="C126" i="4"/>
  <c r="C114" i="4"/>
  <c r="C102" i="4"/>
  <c r="C90" i="4"/>
  <c r="C78" i="4"/>
  <c r="C56" i="4"/>
  <c r="C44" i="4"/>
  <c r="C32" i="4"/>
  <c r="H12" i="4"/>
  <c r="C220" i="4"/>
  <c r="C208" i="4"/>
  <c r="C196" i="4"/>
  <c r="C184" i="4"/>
  <c r="C172" i="4"/>
  <c r="C160" i="4"/>
  <c r="C148" i="4"/>
  <c r="C136" i="4"/>
  <c r="C124" i="4"/>
  <c r="C112" i="4"/>
  <c r="C100" i="4"/>
  <c r="C88" i="4"/>
  <c r="C76" i="4"/>
  <c r="C55" i="4"/>
  <c r="C43" i="4"/>
  <c r="H30" i="4"/>
  <c r="C218" i="4"/>
  <c r="C206" i="4"/>
  <c r="C194" i="4"/>
  <c r="C182" i="4"/>
  <c r="C170" i="4"/>
  <c r="C158" i="4"/>
  <c r="C146" i="4"/>
  <c r="C134" i="4"/>
  <c r="C122" i="4"/>
  <c r="C110" i="4"/>
  <c r="C98" i="4"/>
  <c r="C86" i="4"/>
  <c r="C70" i="4"/>
  <c r="C52" i="4"/>
  <c r="C40" i="4"/>
  <c r="C26" i="4"/>
  <c r="C226" i="4"/>
  <c r="C214" i="4"/>
  <c r="C202" i="4"/>
  <c r="C190" i="4"/>
  <c r="C178" i="4"/>
  <c r="C166" i="4"/>
  <c r="C154" i="4"/>
  <c r="C142" i="4"/>
  <c r="C130" i="4"/>
  <c r="C118" i="4"/>
  <c r="C106" i="4"/>
  <c r="C94" i="4"/>
  <c r="C82" i="4"/>
  <c r="C64" i="4"/>
  <c r="C49" i="4"/>
  <c r="C37" i="4"/>
  <c r="H20" i="4"/>
  <c r="C224" i="4"/>
  <c r="C212" i="4"/>
  <c r="C200" i="4"/>
  <c r="C188" i="4"/>
  <c r="C176" i="4"/>
  <c r="C164" i="4"/>
  <c r="C152" i="4"/>
  <c r="C140" i="4"/>
  <c r="C128" i="4"/>
  <c r="C116" i="4"/>
  <c r="C104" i="4"/>
  <c r="C92" i="4"/>
  <c r="C80" i="4"/>
  <c r="C58" i="4"/>
  <c r="C46" i="4"/>
  <c r="C34" i="4"/>
  <c r="H97" i="1"/>
  <c r="O120" i="1"/>
  <c r="G113" i="1"/>
  <c r="H103" i="1"/>
  <c r="C215" i="4"/>
  <c r="C207" i="4"/>
  <c r="C201" i="4"/>
  <c r="C193" i="4"/>
  <c r="C187" i="4"/>
  <c r="C180" i="4"/>
  <c r="C173" i="4"/>
  <c r="C167" i="4"/>
  <c r="C159" i="4"/>
  <c r="C153" i="4"/>
  <c r="C145" i="4"/>
  <c r="C139" i="4"/>
  <c r="C132" i="4"/>
  <c r="C125" i="4"/>
  <c r="C119" i="4"/>
  <c r="C111" i="4"/>
  <c r="C105" i="4"/>
  <c r="C97" i="4"/>
  <c r="C91" i="4"/>
  <c r="C84" i="4"/>
  <c r="C77" i="4"/>
  <c r="C65" i="4"/>
  <c r="H54" i="4"/>
  <c r="H48" i="4"/>
  <c r="H38" i="4"/>
  <c r="H32" i="4"/>
  <c r="C25" i="4"/>
  <c r="C293" i="4"/>
  <c r="C273" i="4"/>
  <c r="C253" i="4"/>
  <c r="C231" i="4"/>
  <c r="C191" i="4"/>
  <c r="C144" i="4"/>
  <c r="C99" i="4"/>
  <c r="C38" i="4"/>
  <c r="C310" i="4"/>
  <c r="C291" i="4"/>
  <c r="C269" i="4"/>
  <c r="C249" i="4"/>
  <c r="C228" i="4"/>
  <c r="C183" i="4"/>
  <c r="C135" i="4"/>
  <c r="C89" i="4"/>
  <c r="H36" i="4"/>
  <c r="C309" i="4"/>
  <c r="C289" i="4"/>
  <c r="C268" i="4"/>
  <c r="C247" i="4"/>
  <c r="C225" i="4"/>
  <c r="C181" i="4"/>
  <c r="C131" i="4"/>
  <c r="C85" i="4"/>
  <c r="C28" i="4"/>
  <c r="F47" i="2"/>
  <c r="C75" i="4"/>
  <c r="S74" i="2"/>
  <c r="R74" i="2"/>
  <c r="H25" i="4"/>
  <c r="H55" i="4"/>
  <c r="C93" i="4"/>
  <c r="C120" i="4"/>
  <c r="C147" i="4"/>
  <c r="C175" i="4"/>
  <c r="C203" i="4"/>
  <c r="C227" i="4"/>
  <c r="C240" i="4"/>
  <c r="C252" i="4"/>
  <c r="C264" i="4"/>
  <c r="C276" i="4"/>
  <c r="C288" i="4"/>
  <c r="C300" i="4"/>
  <c r="C312" i="4"/>
  <c r="C324" i="4"/>
  <c r="C336" i="4"/>
  <c r="C348" i="4"/>
  <c r="C360" i="4"/>
  <c r="C372" i="4"/>
  <c r="C384" i="4"/>
  <c r="C31" i="4"/>
  <c r="C63" i="4"/>
  <c r="C96" i="4"/>
  <c r="C123" i="4"/>
  <c r="C151" i="4"/>
  <c r="C179" i="4"/>
  <c r="C205" i="4"/>
  <c r="C229" i="4"/>
  <c r="C242" i="4"/>
  <c r="C254" i="4"/>
  <c r="C266" i="4"/>
  <c r="C278" i="4"/>
  <c r="C290" i="4"/>
  <c r="C302" i="4"/>
  <c r="C314" i="4"/>
  <c r="H42" i="4"/>
  <c r="C79" i="4"/>
  <c r="C107" i="4"/>
  <c r="C133" i="4"/>
  <c r="C161" i="4"/>
  <c r="C189" i="4"/>
  <c r="C216" i="4"/>
  <c r="C233" i="4"/>
  <c r="C246" i="4"/>
  <c r="C258" i="4"/>
  <c r="C270" i="4"/>
  <c r="C282" i="4"/>
  <c r="C294" i="4"/>
  <c r="C306" i="4"/>
  <c r="C18" i="4"/>
  <c r="H44" i="4"/>
  <c r="C83" i="4"/>
  <c r="C109" i="4"/>
  <c r="C137" i="4"/>
  <c r="C165" i="4"/>
  <c r="C192" i="4"/>
  <c r="C219" i="4"/>
  <c r="C236" i="4"/>
  <c r="C248" i="4"/>
  <c r="C260" i="4"/>
  <c r="C272" i="4"/>
  <c r="C284" i="4"/>
  <c r="C296" i="4"/>
  <c r="C308" i="4"/>
  <c r="C320" i="4"/>
  <c r="C332" i="4"/>
  <c r="C344" i="4"/>
  <c r="C20" i="4"/>
  <c r="C50" i="4"/>
  <c r="C87" i="4"/>
  <c r="C115" i="4"/>
  <c r="C143" i="4"/>
  <c r="C169" i="4"/>
  <c r="C197" i="4"/>
  <c r="C223" i="4"/>
  <c r="C238" i="4"/>
  <c r="C250" i="4"/>
  <c r="C262" i="4"/>
  <c r="C274" i="4"/>
  <c r="C286" i="4"/>
  <c r="C298" i="4"/>
  <c r="C400" i="4"/>
  <c r="C388" i="4"/>
  <c r="C375" i="4"/>
  <c r="C362" i="4"/>
  <c r="C349" i="4"/>
  <c r="C334" i="4"/>
  <c r="C319" i="4"/>
  <c r="C303" i="4"/>
  <c r="C281" i="4"/>
  <c r="C261" i="4"/>
  <c r="C241" i="4"/>
  <c r="C211" i="4"/>
  <c r="C163" i="4"/>
  <c r="C117" i="4"/>
  <c r="C66" i="4"/>
  <c r="C374" i="4"/>
  <c r="C361" i="4"/>
  <c r="C347" i="4"/>
  <c r="C333" i="4"/>
  <c r="C318" i="4"/>
  <c r="C301" i="4"/>
  <c r="C280" i="4"/>
  <c r="C259" i="4"/>
  <c r="C239" i="4"/>
  <c r="C209" i="4"/>
  <c r="C157" i="4"/>
  <c r="C113" i="4"/>
  <c r="H56" i="4"/>
  <c r="C279" i="4"/>
  <c r="C257" i="4"/>
  <c r="C237" i="4"/>
  <c r="C204" i="4"/>
  <c r="C156" i="4"/>
  <c r="C108" i="4"/>
  <c r="H50" i="4"/>
  <c r="E40" i="2"/>
  <c r="C297" i="4"/>
  <c r="C277" i="4"/>
  <c r="C256" i="4"/>
  <c r="C235" i="4"/>
  <c r="C199" i="4"/>
  <c r="C155" i="4"/>
  <c r="C103" i="4"/>
  <c r="H49" i="4"/>
  <c r="E42" i="2"/>
  <c r="R83" i="2"/>
  <c r="R77" i="2"/>
  <c r="R89" i="2"/>
  <c r="R79" i="2"/>
  <c r="R82" i="2"/>
  <c r="L79" i="5" l="1"/>
  <c r="H18" i="5"/>
  <c r="L81" i="5" s="1"/>
  <c r="M18" i="5"/>
  <c r="D103" i="1"/>
  <c r="S99" i="1"/>
  <c r="K105" i="1"/>
  <c r="F94" i="1"/>
  <c r="C75" i="2"/>
  <c r="J8" i="2"/>
  <c r="I120" i="1"/>
  <c r="L113" i="1"/>
  <c r="V109" i="1"/>
  <c r="T109" i="1"/>
  <c r="D106" i="1"/>
  <c r="D90" i="2"/>
  <c r="D97" i="1"/>
  <c r="B43" i="1"/>
  <c r="W116" i="1"/>
  <c r="G101" i="1"/>
  <c r="F62" i="2"/>
  <c r="F63" i="2" s="1"/>
  <c r="F64" i="2" s="1"/>
  <c r="F65" i="2" s="1"/>
  <c r="F66" i="2" s="1"/>
  <c r="F67" i="2" s="1"/>
  <c r="F68" i="2" s="1"/>
  <c r="F69" i="2" s="1"/>
  <c r="F70" i="2" s="1"/>
  <c r="F71" i="2" s="1"/>
  <c r="L118" i="1"/>
  <c r="R112" i="1"/>
  <c r="N95" i="1"/>
  <c r="J100" i="2"/>
  <c r="M100" i="2" s="1"/>
  <c r="S114" i="1"/>
  <c r="G108" i="1"/>
  <c r="D81" i="2"/>
  <c r="J103" i="2"/>
  <c r="M103" i="2" s="1"/>
  <c r="F46" i="2"/>
  <c r="G46" i="2" s="1"/>
  <c r="G47" i="2" s="1"/>
  <c r="J102" i="2"/>
  <c r="M102" i="2" s="1"/>
  <c r="J98" i="2"/>
  <c r="M98" i="2" s="1"/>
  <c r="C93" i="1"/>
  <c r="F120" i="1"/>
  <c r="I109" i="1"/>
  <c r="H99" i="1"/>
  <c r="T103" i="1"/>
  <c r="R113" i="1"/>
  <c r="R97" i="1"/>
  <c r="X120" i="1"/>
  <c r="H117" i="1"/>
  <c r="F113" i="1"/>
  <c r="S108" i="1"/>
  <c r="S103" i="1"/>
  <c r="W97" i="1"/>
  <c r="F104" i="1"/>
  <c r="K119" i="1"/>
  <c r="S115" i="1"/>
  <c r="O111" i="1"/>
  <c r="R106" i="1"/>
  <c r="H101" i="1"/>
  <c r="W95" i="1"/>
  <c r="H112" i="1"/>
  <c r="P108" i="1"/>
  <c r="H105" i="1"/>
  <c r="L99" i="1"/>
  <c r="B19" i="1"/>
  <c r="M91" i="1"/>
  <c r="B9" i="1"/>
  <c r="I94" i="1"/>
  <c r="R119" i="1"/>
  <c r="U116" i="1"/>
  <c r="Z112" i="1"/>
  <c r="O108" i="1"/>
  <c r="Q104" i="1"/>
  <c r="J99" i="1"/>
  <c r="D82" i="2"/>
  <c r="L95" i="1"/>
  <c r="J104" i="1"/>
  <c r="E114" i="1"/>
  <c r="R99" i="1"/>
  <c r="L120" i="1"/>
  <c r="D117" i="1"/>
  <c r="Y112" i="1"/>
  <c r="C108" i="1"/>
  <c r="M103" i="1"/>
  <c r="O97" i="1"/>
  <c r="H95" i="1"/>
  <c r="G119" i="1"/>
  <c r="O115" i="1"/>
  <c r="W110" i="1"/>
  <c r="M106" i="1"/>
  <c r="Y100" i="1"/>
  <c r="D94" i="1"/>
  <c r="D112" i="1"/>
  <c r="L108" i="1"/>
  <c r="L104" i="1"/>
  <c r="G99" i="1"/>
  <c r="M95" i="1"/>
  <c r="B67" i="1"/>
  <c r="U95" i="1"/>
  <c r="N119" i="1"/>
  <c r="R116" i="1"/>
  <c r="V112" i="1"/>
  <c r="K108" i="1"/>
  <c r="O104" i="1"/>
  <c r="T98" i="1"/>
  <c r="L26" i="2"/>
  <c r="L27" i="2" s="1"/>
  <c r="L28" i="2" s="1"/>
  <c r="L29" i="2" s="1"/>
  <c r="L30" i="2" s="1"/>
  <c r="B40" i="1"/>
  <c r="R101" i="1"/>
  <c r="X116" i="1"/>
  <c r="V107" i="1"/>
  <c r="J97" i="1"/>
  <c r="B55" i="1"/>
  <c r="C119" i="1"/>
  <c r="K115" i="1"/>
  <c r="R110" i="1"/>
  <c r="G106" i="1"/>
  <c r="S100" i="1"/>
  <c r="G93" i="1"/>
  <c r="X111" i="1"/>
  <c r="H108" i="1"/>
  <c r="G104" i="1"/>
  <c r="Z98" i="1"/>
  <c r="G95" i="1"/>
  <c r="B45" i="1"/>
  <c r="I96" i="1"/>
  <c r="N118" i="1"/>
  <c r="M115" i="1"/>
  <c r="N111" i="1"/>
  <c r="C107" i="1"/>
  <c r="Y102" i="1"/>
  <c r="Q96" i="1"/>
  <c r="J113" i="2"/>
  <c r="M113" i="2" s="1"/>
  <c r="V104" i="1"/>
  <c r="R105" i="1"/>
  <c r="E103" i="1"/>
  <c r="V95" i="1"/>
  <c r="X97" i="1"/>
  <c r="W107" i="1"/>
  <c r="Y116" i="1"/>
  <c r="R103" i="1"/>
  <c r="D120" i="1"/>
  <c r="L116" i="1"/>
  <c r="N112" i="1"/>
  <c r="Q107" i="1"/>
  <c r="K102" i="1"/>
  <c r="C97" i="1"/>
  <c r="I93" i="1"/>
  <c r="O118" i="1"/>
  <c r="G115" i="1"/>
  <c r="M110" i="1"/>
  <c r="O105" i="1"/>
  <c r="M100" i="1"/>
  <c r="K91" i="1"/>
  <c r="L111" i="1"/>
  <c r="D108" i="1"/>
  <c r="Z103" i="1"/>
  <c r="Z97" i="1"/>
  <c r="V94" i="1"/>
  <c r="B30" i="1"/>
  <c r="U99" i="1"/>
  <c r="M118" i="1"/>
  <c r="J115" i="1"/>
  <c r="I111" i="1"/>
  <c r="V106" i="1"/>
  <c r="T102" i="1"/>
  <c r="O96" i="1"/>
  <c r="H120" i="1"/>
  <c r="D89" i="2"/>
  <c r="Y97" i="1"/>
  <c r="M98" i="1"/>
  <c r="G109" i="1"/>
  <c r="I117" i="1"/>
  <c r="U96" i="1"/>
  <c r="X118" i="1"/>
  <c r="P115" i="1"/>
  <c r="Y110" i="1"/>
  <c r="C106" i="1"/>
  <c r="C101" i="1"/>
  <c r="J94" i="1"/>
  <c r="B11" i="1"/>
  <c r="S117" i="1"/>
  <c r="U113" i="1"/>
  <c r="W108" i="1"/>
  <c r="M104" i="1"/>
  <c r="O98" i="1"/>
  <c r="X113" i="1"/>
  <c r="P110" i="1"/>
  <c r="X106" i="1"/>
  <c r="G102" i="1"/>
  <c r="P96" i="1"/>
  <c r="B42" i="1"/>
  <c r="S93" i="1"/>
  <c r="R98" i="1"/>
  <c r="E118" i="1"/>
  <c r="Z114" i="1"/>
  <c r="V110" i="1"/>
  <c r="U106" i="1"/>
  <c r="X101" i="1"/>
  <c r="K96" i="1"/>
  <c r="Z93" i="1"/>
  <c r="B54" i="1"/>
  <c r="V116" i="1"/>
  <c r="C113" i="1"/>
  <c r="W99" i="1"/>
  <c r="O114" i="1"/>
  <c r="S112" i="1"/>
  <c r="Y98" i="1"/>
  <c r="R109" i="1"/>
  <c r="Q117" i="1"/>
  <c r="U98" i="1"/>
  <c r="T118" i="1"/>
  <c r="D115" i="1"/>
  <c r="S110" i="1"/>
  <c r="V105" i="1"/>
  <c r="H100" i="1"/>
  <c r="L93" i="1"/>
  <c r="W120" i="1"/>
  <c r="G117" i="1"/>
  <c r="O113" i="1"/>
  <c r="R108" i="1"/>
  <c r="Q103" i="1"/>
  <c r="J98" i="1"/>
  <c r="T113" i="1"/>
  <c r="D110" i="1"/>
  <c r="T106" i="1"/>
  <c r="Z101" i="1"/>
  <c r="Y95" i="1"/>
  <c r="B28" i="1"/>
  <c r="N93" i="1"/>
  <c r="F99" i="1"/>
  <c r="Z117" i="1"/>
  <c r="V114" i="1"/>
  <c r="U110" i="1"/>
  <c r="Q106" i="1"/>
  <c r="S101" i="1"/>
  <c r="C96" i="1"/>
  <c r="J99" i="2"/>
  <c r="M99" i="2" s="1"/>
  <c r="C99" i="1"/>
  <c r="Q93" i="1"/>
  <c r="N99" i="1"/>
  <c r="E110" i="1"/>
  <c r="Q118" i="1"/>
  <c r="U100" i="1"/>
  <c r="P118" i="1"/>
  <c r="X114" i="1"/>
  <c r="N110" i="1"/>
  <c r="Q105" i="1"/>
  <c r="Y99" i="1"/>
  <c r="N91" i="1"/>
  <c r="S120" i="1"/>
  <c r="C117" i="1"/>
  <c r="J113" i="1"/>
  <c r="M108" i="1"/>
  <c r="K103" i="1"/>
  <c r="C98" i="1"/>
  <c r="P113" i="1"/>
  <c r="X109" i="1"/>
  <c r="P106" i="1"/>
  <c r="L101" i="1"/>
  <c r="S95" i="1"/>
  <c r="Q94" i="1"/>
  <c r="J93" i="1"/>
  <c r="B8" i="1"/>
  <c r="J120" i="1"/>
  <c r="Z116" i="1"/>
  <c r="I113" i="1"/>
  <c r="M109" i="1"/>
  <c r="Z104" i="1"/>
  <c r="D100" i="1"/>
  <c r="G94" i="2"/>
  <c r="G95" i="2" s="1"/>
  <c r="G96" i="2" s="1"/>
  <c r="G97" i="2" s="1"/>
  <c r="S78" i="2"/>
  <c r="J104" i="2"/>
  <c r="M104" i="2" s="1"/>
  <c r="E43" i="2"/>
  <c r="E44" i="2" s="1"/>
  <c r="J101" i="2"/>
  <c r="M101" i="2" s="1"/>
  <c r="J21" i="2"/>
  <c r="J22" i="2" s="1"/>
  <c r="J23" i="2" s="1"/>
  <c r="D80" i="2"/>
  <c r="K96" i="2"/>
  <c r="J97" i="2" s="1"/>
  <c r="M97" i="2" s="1"/>
  <c r="N97" i="2" s="1"/>
  <c r="C328" i="4"/>
  <c r="C313" i="4"/>
  <c r="C271" i="4"/>
  <c r="C230" i="4"/>
  <c r="C101" i="4"/>
  <c r="O7" i="2"/>
  <c r="E41" i="2"/>
  <c r="F50" i="2"/>
  <c r="R84" i="2"/>
  <c r="G102" i="2"/>
  <c r="C326" i="4"/>
  <c r="C304" i="4"/>
  <c r="C265" i="4"/>
  <c r="C185" i="4"/>
  <c r="S88" i="2"/>
  <c r="R88" i="2"/>
  <c r="K95" i="1"/>
  <c r="Q97" i="1"/>
  <c r="O99" i="1"/>
  <c r="X100" i="1"/>
  <c r="M102" i="1"/>
  <c r="W103" i="1"/>
  <c r="C105" i="1"/>
  <c r="J106" i="1"/>
  <c r="N107" i="1"/>
  <c r="Q108" i="1"/>
  <c r="W109" i="1"/>
  <c r="C111" i="1"/>
  <c r="F112" i="1"/>
  <c r="M113" i="1"/>
  <c r="Q114" i="1"/>
  <c r="N115" i="1"/>
  <c r="M116" i="1"/>
  <c r="J117" i="1"/>
  <c r="F118" i="1"/>
  <c r="E119" i="1"/>
  <c r="Z119" i="1"/>
  <c r="V120" i="1"/>
  <c r="I98" i="1"/>
  <c r="H96" i="1"/>
  <c r="R102" i="1"/>
  <c r="R94" i="1"/>
  <c r="B27" i="1"/>
  <c r="P91" i="1"/>
  <c r="L94" i="1"/>
  <c r="B64" i="1"/>
  <c r="C64" i="1" s="1"/>
  <c r="D93" i="1"/>
  <c r="X94" i="1"/>
  <c r="B46" i="1"/>
  <c r="Y94" i="1"/>
  <c r="V96" i="1"/>
  <c r="L98" i="1"/>
  <c r="Z99" i="1"/>
  <c r="P101" i="1"/>
  <c r="G103" i="1"/>
  <c r="T104" i="1"/>
  <c r="Z95" i="1"/>
  <c r="S97" i="1"/>
  <c r="T99" i="1"/>
  <c r="E101" i="1"/>
  <c r="N102" i="1"/>
  <c r="C104" i="1"/>
  <c r="I105" i="1"/>
  <c r="K106" i="1"/>
  <c r="R107" i="1"/>
  <c r="V108" i="1"/>
  <c r="Y109" i="1"/>
  <c r="G111" i="1"/>
  <c r="K112" i="1"/>
  <c r="N113" i="1"/>
  <c r="U114" i="1"/>
  <c r="R115" i="1"/>
  <c r="N116" i="1"/>
  <c r="M117" i="1"/>
  <c r="J118" i="1"/>
  <c r="F119" i="1"/>
  <c r="E120" i="1"/>
  <c r="Z120" i="1"/>
  <c r="B17" i="1"/>
  <c r="U97" i="1"/>
  <c r="T95" i="1"/>
  <c r="F101" i="1"/>
  <c r="F93" i="1"/>
  <c r="B29" i="1"/>
  <c r="W91" i="1"/>
  <c r="P94" i="1"/>
  <c r="K93" i="1"/>
  <c r="D95" i="1"/>
  <c r="M93" i="1"/>
  <c r="B76" i="1"/>
  <c r="J95" i="1"/>
  <c r="Z96" i="1"/>
  <c r="P98" i="1"/>
  <c r="G100" i="1"/>
  <c r="V101" i="1"/>
  <c r="L103" i="1"/>
  <c r="X104" i="1"/>
  <c r="W93" i="1"/>
  <c r="E98" i="1"/>
  <c r="J100" i="1"/>
  <c r="Y101" i="1"/>
  <c r="D104" i="1"/>
  <c r="S105" i="1"/>
  <c r="G107" i="1"/>
  <c r="Z108" i="1"/>
  <c r="K110" i="1"/>
  <c r="Y111" i="1"/>
  <c r="S113" i="1"/>
  <c r="E115" i="1"/>
  <c r="F116" i="1"/>
  <c r="N117" i="1"/>
  <c r="R118" i="1"/>
  <c r="U119" i="1"/>
  <c r="U103" i="1"/>
  <c r="U93" i="1"/>
  <c r="F103" i="1"/>
  <c r="B10" i="1"/>
  <c r="C82" i="1"/>
  <c r="E94" i="1"/>
  <c r="C83" i="1"/>
  <c r="G94" i="1"/>
  <c r="Z91" i="1"/>
  <c r="E122" i="1" s="1"/>
  <c r="S91" i="1"/>
  <c r="E96" i="1"/>
  <c r="G98" i="1"/>
  <c r="P100" i="1"/>
  <c r="P102" i="1"/>
  <c r="P104" i="1"/>
  <c r="H106" i="1"/>
  <c r="P107" i="1"/>
  <c r="X108" i="1"/>
  <c r="H110" i="1"/>
  <c r="P111" i="1"/>
  <c r="X112" i="1"/>
  <c r="H114" i="1"/>
  <c r="Z94" i="1"/>
  <c r="N97" i="1"/>
  <c r="Q99" i="1"/>
  <c r="T101" i="1"/>
  <c r="X103" i="1"/>
  <c r="U105" i="1"/>
  <c r="O107" i="1"/>
  <c r="J109" i="1"/>
  <c r="E111" i="1"/>
  <c r="W112" i="1"/>
  <c r="R114" i="1"/>
  <c r="C116" i="1"/>
  <c r="K117" i="1"/>
  <c r="S118" i="1"/>
  <c r="C120" i="1"/>
  <c r="I103" i="1"/>
  <c r="H93" i="1"/>
  <c r="F91" i="1"/>
  <c r="G96" i="1"/>
  <c r="K98" i="1"/>
  <c r="N100" i="1"/>
  <c r="Q102" i="1"/>
  <c r="S104" i="1"/>
  <c r="N106" i="1"/>
  <c r="I108" i="1"/>
  <c r="C110" i="1"/>
  <c r="V111" i="1"/>
  <c r="Q113" i="1"/>
  <c r="H115" i="1"/>
  <c r="P116" i="1"/>
  <c r="X117" i="1"/>
  <c r="H119" i="1"/>
  <c r="P120" i="1"/>
  <c r="C61" i="1"/>
  <c r="T94" i="1"/>
  <c r="R93" i="1"/>
  <c r="Y120" i="1"/>
  <c r="I118" i="1"/>
  <c r="Q115" i="1"/>
  <c r="J112" i="1"/>
  <c r="U108" i="1"/>
  <c r="G105" i="1"/>
  <c r="D101" i="1"/>
  <c r="W96" i="1"/>
  <c r="S94" i="1"/>
  <c r="H98" i="1"/>
  <c r="K100" i="1"/>
  <c r="H102" i="1"/>
  <c r="K104" i="1"/>
  <c r="W105" i="1"/>
  <c r="I107" i="1"/>
  <c r="C109" i="1"/>
  <c r="Q110" i="1"/>
  <c r="E112" i="1"/>
  <c r="W113" i="1"/>
  <c r="F115" i="1"/>
  <c r="J116" i="1"/>
  <c r="R117" i="1"/>
  <c r="U118" i="1"/>
  <c r="V119" i="1"/>
  <c r="I102" i="1"/>
  <c r="I91" i="1"/>
  <c r="R100" i="1"/>
  <c r="E91" i="1"/>
  <c r="W94" i="1"/>
  <c r="G91" i="1"/>
  <c r="M94" i="1"/>
  <c r="X93" i="1"/>
  <c r="E93" i="1"/>
  <c r="L96" i="1"/>
  <c r="V98" i="1"/>
  <c r="V100" i="1"/>
  <c r="V102" i="1"/>
  <c r="D105" i="1"/>
  <c r="L106" i="1"/>
  <c r="T107" i="1"/>
  <c r="D109" i="1"/>
  <c r="L110" i="1"/>
  <c r="T111" i="1"/>
  <c r="D113" i="1"/>
  <c r="L114" i="1"/>
  <c r="O95" i="1"/>
  <c r="T97" i="1"/>
  <c r="X99" i="1"/>
  <c r="C102" i="1"/>
  <c r="E104" i="1"/>
  <c r="Z105" i="1"/>
  <c r="U107" i="1"/>
  <c r="O109" i="1"/>
  <c r="J111" i="1"/>
  <c r="E113" i="1"/>
  <c r="W114" i="1"/>
  <c r="G116" i="1"/>
  <c r="O117" i="1"/>
  <c r="W118" i="1"/>
  <c r="G120" i="1"/>
  <c r="I101" i="1"/>
  <c r="B33" i="1"/>
  <c r="B53" i="1"/>
  <c r="N96" i="1"/>
  <c r="Q98" i="1"/>
  <c r="T100" i="1"/>
  <c r="X102" i="1"/>
  <c r="Y104" i="1"/>
  <c r="S106" i="1"/>
  <c r="N108" i="1"/>
  <c r="I110" i="1"/>
  <c r="C112" i="1"/>
  <c r="V113" i="1"/>
  <c r="L115" i="1"/>
  <c r="T116" i="1"/>
  <c r="D118" i="1"/>
  <c r="L119" i="1"/>
  <c r="T120" i="1"/>
  <c r="U102" i="1"/>
  <c r="T91" i="1"/>
  <c r="B74" i="1"/>
  <c r="C74" i="1" s="1"/>
  <c r="Q120" i="1"/>
  <c r="Y117" i="1"/>
  <c r="I115" i="1"/>
  <c r="W111" i="1"/>
  <c r="J108" i="1"/>
  <c r="U104" i="1"/>
  <c r="O100" i="1"/>
  <c r="J96" i="1"/>
  <c r="E97" i="1"/>
  <c r="Q100" i="1"/>
  <c r="C103" i="1"/>
  <c r="M105" i="1"/>
  <c r="S107" i="1"/>
  <c r="N109" i="1"/>
  <c r="R111" i="1"/>
  <c r="Y113" i="1"/>
  <c r="U115" i="1"/>
  <c r="E117" i="1"/>
  <c r="V118" i="1"/>
  <c r="M120" i="1"/>
  <c r="B75" i="1"/>
  <c r="F97" i="1"/>
  <c r="B44" i="1"/>
  <c r="Y93" i="1"/>
  <c r="Q91" i="1"/>
  <c r="B65" i="1"/>
  <c r="J91" i="1"/>
  <c r="G97" i="1"/>
  <c r="P99" i="1"/>
  <c r="L102" i="1"/>
  <c r="L105" i="1"/>
  <c r="D107" i="1"/>
  <c r="T108" i="1"/>
  <c r="T110" i="1"/>
  <c r="L112" i="1"/>
  <c r="D114" i="1"/>
  <c r="D96" i="1"/>
  <c r="W98" i="1"/>
  <c r="N101" i="1"/>
  <c r="R104" i="1"/>
  <c r="W106" i="1"/>
  <c r="E109" i="1"/>
  <c r="U111" i="1"/>
  <c r="Z113" i="1"/>
  <c r="W115" i="1"/>
  <c r="W117" i="1"/>
  <c r="O119" i="1"/>
  <c r="D84" i="1"/>
  <c r="F102" i="1"/>
  <c r="E95" i="1"/>
  <c r="D98" i="1"/>
  <c r="J101" i="1"/>
  <c r="Y103" i="1"/>
  <c r="I106" i="1"/>
  <c r="Y108" i="1"/>
  <c r="F111" i="1"/>
  <c r="K113" i="1"/>
  <c r="T115" i="1"/>
  <c r="L117" i="1"/>
  <c r="D119" i="1"/>
  <c r="F123" i="1"/>
  <c r="U94" i="1"/>
  <c r="R95" i="1"/>
  <c r="Y119" i="1"/>
  <c r="Q116" i="1"/>
  <c r="U112" i="1"/>
  <c r="M107" i="1"/>
  <c r="S102" i="1"/>
  <c r="K97" i="1"/>
  <c r="X96" i="1"/>
  <c r="M97" i="1"/>
  <c r="W100" i="1"/>
  <c r="J103" i="1"/>
  <c r="N105" i="1"/>
  <c r="Y107" i="1"/>
  <c r="S109" i="1"/>
  <c r="S111" i="1"/>
  <c r="F114" i="1"/>
  <c r="V115" i="1"/>
  <c r="F117" i="1"/>
  <c r="Z118" i="1"/>
  <c r="N120" i="1"/>
  <c r="I104" i="1"/>
  <c r="H94" i="1"/>
  <c r="R96" i="1"/>
  <c r="E61" i="1"/>
  <c r="C95" i="1"/>
  <c r="X91" i="1"/>
  <c r="D91" i="1"/>
  <c r="P93" i="1"/>
  <c r="L97" i="1"/>
  <c r="V99" i="1"/>
  <c r="Z102" i="1"/>
  <c r="P105" i="1"/>
  <c r="H107" i="1"/>
  <c r="H109" i="1"/>
  <c r="X110" i="1"/>
  <c r="P112" i="1"/>
  <c r="P114" i="1"/>
  <c r="M96" i="1"/>
  <c r="D99" i="1"/>
  <c r="J102" i="1"/>
  <c r="W104" i="1"/>
  <c r="E107" i="1"/>
  <c r="U109" i="1"/>
  <c r="Z111" i="1"/>
  <c r="G114" i="1"/>
  <c r="K116" i="1"/>
  <c r="C118" i="1"/>
  <c r="S119" i="1"/>
  <c r="I99" i="1"/>
  <c r="F100" i="1"/>
  <c r="P95" i="1"/>
  <c r="X98" i="1"/>
  <c r="O101" i="1"/>
  <c r="H104" i="1"/>
  <c r="Y106" i="1"/>
  <c r="F109" i="1"/>
  <c r="K111" i="1"/>
  <c r="C114" i="1"/>
  <c r="X115" i="1"/>
  <c r="P117" i="1"/>
  <c r="P119" i="1"/>
  <c r="B16" i="1"/>
  <c r="C16" i="1" s="1"/>
  <c r="U91" i="1"/>
  <c r="Q119" i="1"/>
  <c r="I116" i="1"/>
  <c r="M111" i="1"/>
  <c r="Z106" i="1"/>
  <c r="E102" i="1"/>
  <c r="Q95" i="1"/>
  <c r="Y91" i="1"/>
  <c r="B41" i="1"/>
  <c r="N98" i="1"/>
  <c r="K101" i="1"/>
  <c r="N103" i="1"/>
  <c r="Y105" i="1"/>
  <c r="E108" i="1"/>
  <c r="F110" i="1"/>
  <c r="O112" i="1"/>
  <c r="J114" i="1"/>
  <c r="Z115" i="1"/>
  <c r="U117" i="1"/>
  <c r="J119" i="1"/>
  <c r="R120" i="1"/>
  <c r="U101" i="1"/>
  <c r="T93" i="1"/>
  <c r="F95" i="1"/>
  <c r="B66" i="1"/>
  <c r="B7" i="1"/>
  <c r="O93" i="1"/>
  <c r="O91" i="1"/>
  <c r="C94" i="1"/>
  <c r="P97" i="1"/>
  <c r="L100" i="1"/>
  <c r="P103" i="1"/>
  <c r="T105" i="1"/>
  <c r="L107" i="1"/>
  <c r="L109" i="1"/>
  <c r="D111" i="1"/>
  <c r="T112" i="1"/>
  <c r="T114" i="1"/>
  <c r="S96" i="1"/>
  <c r="K99" i="1"/>
  <c r="O102" i="1"/>
  <c r="E105" i="1"/>
  <c r="J107" i="1"/>
  <c r="Z109" i="1"/>
  <c r="G112" i="1"/>
  <c r="M114" i="1"/>
  <c r="O116" i="1"/>
  <c r="G118" i="1"/>
  <c r="W119" i="1"/>
  <c r="I97" i="1"/>
  <c r="F98" i="1"/>
  <c r="X95" i="1"/>
  <c r="E99" i="1"/>
  <c r="W101" i="1"/>
  <c r="N104" i="1"/>
  <c r="F107" i="1"/>
  <c r="K109" i="1"/>
  <c r="Q111" i="1"/>
  <c r="I114" i="1"/>
  <c r="D116" i="1"/>
  <c r="T117" i="1"/>
  <c r="T119" i="1"/>
  <c r="B20" i="1"/>
  <c r="I119" i="1"/>
  <c r="Y115" i="1"/>
  <c r="Z110" i="1"/>
  <c r="O106" i="1"/>
  <c r="Q101" i="1"/>
  <c r="O94" i="1"/>
  <c r="B77" i="1"/>
  <c r="S98" i="1"/>
  <c r="M101" i="1"/>
  <c r="O103" i="1"/>
  <c r="F106" i="1"/>
  <c r="F108" i="1"/>
  <c r="J110" i="1"/>
  <c r="Q112" i="1"/>
  <c r="K114" i="1"/>
  <c r="E116" i="1"/>
  <c r="V117" i="1"/>
  <c r="M119" i="1"/>
  <c r="U120" i="1"/>
  <c r="I100" i="1"/>
  <c r="H91" i="1"/>
  <c r="R91" i="1"/>
  <c r="L91" i="1"/>
  <c r="B18" i="1"/>
  <c r="V93" i="1"/>
  <c r="K94" i="1"/>
  <c r="N94" i="1"/>
  <c r="V97" i="1"/>
  <c r="Z100" i="1"/>
  <c r="V103" i="1"/>
  <c r="X105" i="1"/>
  <c r="X107" i="1"/>
  <c r="P109" i="1"/>
  <c r="H111" i="1"/>
  <c r="H113" i="1"/>
  <c r="B56" i="1"/>
  <c r="Y96" i="1"/>
  <c r="E100" i="1"/>
  <c r="W102" i="1"/>
  <c r="J105" i="1"/>
  <c r="Z107" i="1"/>
  <c r="G110" i="1"/>
  <c r="M112" i="1"/>
  <c r="C115" i="1"/>
  <c r="S116" i="1"/>
  <c r="K118" i="1"/>
  <c r="K120" i="1"/>
  <c r="I95" i="1"/>
  <c r="F96" i="1"/>
  <c r="T96" i="1"/>
  <c r="M99" i="1"/>
  <c r="D102" i="1"/>
  <c r="F105" i="1"/>
  <c r="K107" i="1"/>
  <c r="Q109" i="1"/>
  <c r="I112" i="1"/>
  <c r="N114" i="1"/>
  <c r="H116" i="1"/>
  <c r="H118" i="1"/>
  <c r="X119" i="1"/>
  <c r="B32" i="1"/>
  <c r="B31" i="1"/>
  <c r="Y118" i="1"/>
  <c r="Y114" i="1"/>
  <c r="O110" i="1"/>
  <c r="E106" i="1"/>
  <c r="C100" i="1"/>
  <c r="V91" i="1"/>
  <c r="C22" i="4"/>
  <c r="C127" i="4"/>
  <c r="C195" i="4"/>
  <c r="C245" i="4"/>
  <c r="C283" i="4"/>
  <c r="C307" i="4"/>
  <c r="C323" i="4"/>
  <c r="C335" i="4"/>
  <c r="C345" i="4"/>
  <c r="C356" i="4"/>
  <c r="C367" i="4"/>
  <c r="C378" i="4"/>
  <c r="C387" i="4"/>
  <c r="C396" i="4"/>
  <c r="C405" i="4"/>
  <c r="H37" i="4"/>
  <c r="C129" i="4"/>
  <c r="C213" i="4"/>
  <c r="C251" i="4"/>
  <c r="C285" i="4"/>
  <c r="C311" i="4"/>
  <c r="C325" i="4"/>
  <c r="C337" i="4"/>
  <c r="C346" i="4"/>
  <c r="C357" i="4"/>
  <c r="C368" i="4"/>
  <c r="E104" i="2"/>
  <c r="G103" i="2"/>
  <c r="C221" i="4"/>
  <c r="C121" i="4"/>
  <c r="S81" i="2"/>
  <c r="R81" i="2"/>
  <c r="D87" i="2"/>
  <c r="D86" i="2"/>
  <c r="E86" i="2" s="1"/>
  <c r="R76" i="2"/>
  <c r="D79" i="2"/>
  <c r="E79" i="2" s="1"/>
  <c r="R80" i="2"/>
  <c r="R85" i="2"/>
  <c r="R87" i="2"/>
  <c r="J105" i="2"/>
  <c r="M105" i="2" s="1"/>
  <c r="R75" i="2"/>
  <c r="R90" i="2"/>
  <c r="K111" i="2"/>
  <c r="J112" i="2" s="1"/>
  <c r="M112" i="2" s="1"/>
  <c r="N112" i="2" s="1"/>
  <c r="N113" i="2" s="1"/>
  <c r="E87" i="2" l="1"/>
  <c r="E88" i="2" s="1"/>
  <c r="E89" i="2" s="1"/>
  <c r="E90" i="2" s="1"/>
  <c r="E80" i="2"/>
  <c r="E81" i="2" s="1"/>
  <c r="E82" i="2" s="1"/>
  <c r="N98" i="2"/>
  <c r="N99" i="2" s="1"/>
  <c r="N100" i="2" s="1"/>
  <c r="N101" i="2" s="1"/>
  <c r="N102" i="2" s="1"/>
  <c r="N103" i="2" s="1"/>
  <c r="N104" i="2" s="1"/>
  <c r="N105" i="2" s="1"/>
  <c r="C75" i="1"/>
  <c r="C76" i="1" s="1"/>
  <c r="C40" i="1"/>
  <c r="C41" i="1" s="1"/>
  <c r="E40" i="1"/>
  <c r="C17" i="1"/>
  <c r="F55" i="2"/>
  <c r="G55" i="2" s="1"/>
  <c r="G56" i="2" s="1"/>
  <c r="G57" i="2" s="1"/>
  <c r="G58" i="2" s="1"/>
  <c r="G59" i="2" s="1"/>
  <c r="G50" i="2"/>
  <c r="G51" i="2" s="1"/>
  <c r="E75" i="1"/>
  <c r="C27" i="1"/>
  <c r="C28" i="1" s="1"/>
  <c r="E27" i="1"/>
  <c r="I16" i="1"/>
  <c r="G7" i="1"/>
  <c r="C7" i="1"/>
  <c r="C8" i="1" s="1"/>
  <c r="K7" i="1"/>
  <c r="M16" i="1"/>
  <c r="M7" i="1"/>
  <c r="E16" i="1"/>
  <c r="I7" i="1"/>
  <c r="G16" i="1"/>
  <c r="E7" i="1"/>
  <c r="K16" i="1"/>
  <c r="C53" i="1"/>
  <c r="E53" i="1"/>
  <c r="G104" i="2"/>
  <c r="E105" i="2"/>
  <c r="E64" i="1"/>
  <c r="C65" i="1"/>
  <c r="K17" i="1" l="1"/>
  <c r="E41" i="1"/>
  <c r="C42" i="1"/>
  <c r="E42" i="1" s="1"/>
  <c r="E17" i="1"/>
  <c r="M17" i="1"/>
  <c r="C18" i="1"/>
  <c r="C19" i="1" s="1"/>
  <c r="G17" i="1"/>
  <c r="I17" i="1"/>
  <c r="L83" i="5"/>
  <c r="N86" i="5" s="1"/>
  <c r="G8" i="1"/>
  <c r="C9" i="1"/>
  <c r="I8" i="1"/>
  <c r="M8" i="1"/>
  <c r="E8" i="1"/>
  <c r="K8" i="1"/>
  <c r="E76" i="1"/>
  <c r="C77" i="1"/>
  <c r="G53" i="1"/>
  <c r="C54" i="1"/>
  <c r="C66" i="1"/>
  <c r="E65" i="1"/>
  <c r="G105" i="2"/>
  <c r="E106" i="2"/>
  <c r="E28" i="1"/>
  <c r="C29" i="1"/>
  <c r="E18" i="1" l="1"/>
  <c r="E19" i="1" s="1"/>
  <c r="I18" i="1"/>
  <c r="I19" i="1" s="1"/>
  <c r="M18" i="1"/>
  <c r="M19" i="1" s="1"/>
  <c r="G18" i="1"/>
  <c r="G19" i="1" s="1"/>
  <c r="K18" i="1"/>
  <c r="K19" i="1" s="1"/>
  <c r="C43" i="1"/>
  <c r="E43" i="1" s="1"/>
  <c r="E77" i="1"/>
  <c r="N88" i="5"/>
  <c r="D4" i="6" s="1"/>
  <c r="E29" i="1"/>
  <c r="C30" i="1"/>
  <c r="C20" i="1"/>
  <c r="G106" i="2"/>
  <c r="E107" i="2"/>
  <c r="G54" i="1"/>
  <c r="E54" i="1"/>
  <c r="C55" i="1"/>
  <c r="K9" i="1"/>
  <c r="M9" i="1"/>
  <c r="G9" i="1"/>
  <c r="C10" i="1"/>
  <c r="E9" i="1"/>
  <c r="I9" i="1"/>
  <c r="C44" i="1"/>
  <c r="E66" i="1"/>
  <c r="C67" i="1"/>
  <c r="D12" i="6" l="1"/>
  <c r="D18" i="6"/>
  <c r="E67" i="1"/>
  <c r="J92" i="5"/>
  <c r="E108" i="2"/>
  <c r="G107" i="2"/>
  <c r="E30" i="1"/>
  <c r="C31" i="1"/>
  <c r="E44" i="1"/>
  <c r="C45" i="1"/>
  <c r="C56" i="1"/>
  <c r="G55" i="1"/>
  <c r="E55" i="1"/>
  <c r="E20" i="1"/>
  <c r="G20" i="1"/>
  <c r="K20" i="1"/>
  <c r="I20" i="1"/>
  <c r="M20" i="1"/>
  <c r="I10" i="1"/>
  <c r="C11" i="1"/>
  <c r="K10" i="1"/>
  <c r="G10" i="1"/>
  <c r="M10" i="1"/>
  <c r="E10" i="1"/>
  <c r="I11" i="1" l="1"/>
  <c r="G11" i="1"/>
  <c r="M11" i="1"/>
  <c r="E11" i="1"/>
  <c r="K11" i="1"/>
  <c r="G56" i="1"/>
  <c r="E56" i="1"/>
  <c r="E45" i="1"/>
  <c r="C46" i="1"/>
  <c r="E31" i="1"/>
  <c r="C32" i="1"/>
  <c r="G108" i="2"/>
  <c r="E109" i="2"/>
  <c r="D24" i="6" l="1"/>
  <c r="E110" i="2"/>
  <c r="G109" i="2"/>
  <c r="E32" i="1"/>
  <c r="C33" i="1"/>
  <c r="E46" i="1"/>
  <c r="E33" i="1" l="1"/>
  <c r="E111" i="2"/>
  <c r="G110" i="2"/>
  <c r="G111" i="2" l="1"/>
  <c r="E112" i="2"/>
  <c r="G112" i="2" l="1"/>
  <c r="E113" i="2"/>
  <c r="G113" i="2" l="1"/>
  <c r="E114" i="2"/>
  <c r="G114" i="2" l="1"/>
  <c r="E115" i="2"/>
  <c r="E116" i="2" l="1"/>
  <c r="G115" i="2"/>
  <c r="E117" i="2" l="1"/>
  <c r="G116" i="2"/>
  <c r="G117" i="2" l="1"/>
  <c r="E118" i="2"/>
  <c r="E119" i="2" l="1"/>
  <c r="G118" i="2"/>
  <c r="E120" i="2" l="1"/>
  <c r="G119" i="2"/>
  <c r="G120" i="2" l="1"/>
  <c r="E121" i="2"/>
  <c r="E122" i="2" l="1"/>
  <c r="G121" i="2"/>
  <c r="G122" i="2" l="1"/>
  <c r="E123" i="2"/>
  <c r="G1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achappa</author>
  </authors>
  <commentList>
    <comment ref="K56" authorId="0" shapeId="0" xr:uid="{E31AD0EE-7E2E-48A8-988D-EAE04B542CBE}">
      <text>
        <r>
          <rPr>
            <b/>
            <sz val="9"/>
            <color indexed="81"/>
            <rFont val="Tahoma"/>
            <family val="2"/>
          </rPr>
          <t>achappa:</t>
        </r>
        <r>
          <rPr>
            <sz val="9"/>
            <color indexed="81"/>
            <rFont val="Tahoma"/>
            <family val="2"/>
          </rPr>
          <t xml:space="preserve">
cambiar redondeo menor y mayor según los decimales de las columnas L</t>
        </r>
      </text>
    </comment>
    <comment ref="R73" authorId="0" shapeId="0" xr:uid="{F2889C37-5F76-4687-97FB-42FA301B3B8D}">
      <text>
        <r>
          <rPr>
            <b/>
            <sz val="9"/>
            <color indexed="81"/>
            <rFont val="Tahoma"/>
            <family val="2"/>
          </rPr>
          <t>achappa:</t>
        </r>
        <r>
          <rPr>
            <sz val="9"/>
            <color indexed="81"/>
            <rFont val="Tahoma"/>
            <family val="2"/>
          </rPr>
          <t xml:space="preserve">
cambiar redondeo menor y mayor según los decimales de las columnas L</t>
        </r>
      </text>
    </comment>
  </commentList>
</comments>
</file>

<file path=xl/sharedStrings.xml><?xml version="1.0" encoding="utf-8"?>
<sst xmlns="http://schemas.openxmlformats.org/spreadsheetml/2006/main" count="1514" uniqueCount="384">
  <si>
    <t>Coeficiente de Actualización</t>
  </si>
  <si>
    <t>OBRAS DE INGENIERIA Y ARQUITECTURA - PROYECTO Y DIRECCION DE OBRA</t>
  </si>
  <si>
    <t>Monto de Obra</t>
  </si>
  <si>
    <t>1ra</t>
  </si>
  <si>
    <t>4ta</t>
  </si>
  <si>
    <t>6ta</t>
  </si>
  <si>
    <t>7ma</t>
  </si>
  <si>
    <t>8va</t>
  </si>
  <si>
    <t>Parcial</t>
  </si>
  <si>
    <t>Acumulado</t>
  </si>
  <si>
    <t>%</t>
  </si>
  <si>
    <t>Excedente</t>
  </si>
  <si>
    <t>2da</t>
  </si>
  <si>
    <t>3ra</t>
  </si>
  <si>
    <t>5ta</t>
  </si>
  <si>
    <t>9na</t>
  </si>
  <si>
    <t>10ma</t>
  </si>
  <si>
    <t>REPRESENTACION TECNICA</t>
  </si>
  <si>
    <t>Honorario</t>
  </si>
  <si>
    <t>CONSTRUCCIONES E INSTALACIONES</t>
  </si>
  <si>
    <t>MEDICION. Incisos a) o c)</t>
  </si>
  <si>
    <t>Obras Civiles</t>
  </si>
  <si>
    <t>Obras Sanitarias</t>
  </si>
  <si>
    <t>INFORME TECNICO</t>
  </si>
  <si>
    <t>Inciso a)</t>
  </si>
  <si>
    <t>Inciso b)</t>
  </si>
  <si>
    <t>Inciso c)</t>
  </si>
  <si>
    <t>PROPIEDAD HORIZONTAL (Edificio construído)</t>
  </si>
  <si>
    <t xml:space="preserve">DIAS DE VIAJE Y GABINETE </t>
  </si>
  <si>
    <t>Día de viaje</t>
  </si>
  <si>
    <t>$/día</t>
  </si>
  <si>
    <t>Día de gabinete</t>
  </si>
  <si>
    <t>Día en terreno</t>
  </si>
  <si>
    <t>primeros 10 dias</t>
  </si>
  <si>
    <t>dias siguientes</t>
  </si>
  <si>
    <t>Perímetro</t>
  </si>
  <si>
    <t>Art. 4º</t>
  </si>
  <si>
    <t>TABLA V</t>
  </si>
  <si>
    <t>HONORARIOS POR MENSURA</t>
  </si>
  <si>
    <t>Valuación</t>
  </si>
  <si>
    <t xml:space="preserve">PARA EL EXECEDENTE DE </t>
  </si>
  <si>
    <r>
      <rPr>
        <sz val="10"/>
        <rFont val="Arial"/>
        <family val="2"/>
      </rPr>
      <t>SE APLICA EL</t>
    </r>
    <r>
      <rPr>
        <b/>
        <sz val="10"/>
        <rFont val="Arial"/>
        <family val="2"/>
      </rPr>
      <t xml:space="preserve"> 0,5%</t>
    </r>
  </si>
  <si>
    <r>
      <rPr>
        <sz val="10"/>
        <rFont val="Arial"/>
        <family val="2"/>
      </rPr>
      <t xml:space="preserve">MÁS DE </t>
    </r>
    <r>
      <rPr>
        <b/>
        <sz val="10"/>
        <rFont val="Arial"/>
        <family val="2"/>
      </rPr>
      <t>5.000 m</t>
    </r>
    <r>
      <rPr>
        <sz val="10"/>
        <rFont val="Arial"/>
        <family val="2"/>
      </rPr>
      <t xml:space="preserve"> se CONSIDERARÁ </t>
    </r>
    <r>
      <rPr>
        <b/>
        <sz val="10"/>
        <rFont val="Arial"/>
        <family val="2"/>
      </rPr>
      <t>$/Hm</t>
    </r>
  </si>
  <si>
    <t>Las celdas en verde deben ser completadas o cambiar algo de la formula</t>
  </si>
  <si>
    <t xml:space="preserve">Valores indicativos para determinar Honorarios Profesionales mínimos </t>
  </si>
  <si>
    <t>Aumento %</t>
  </si>
  <si>
    <t>HPM</t>
  </si>
  <si>
    <t>DDJJ (10%)</t>
  </si>
  <si>
    <t>CONF. SED. (10%)</t>
  </si>
  <si>
    <t>REG PROPIE. (5%)</t>
  </si>
  <si>
    <t>Valor Referencial</t>
  </si>
  <si>
    <t>d.5.2. Relevamiento para certificado de deslinde y amojonamiento para dos o más parcelas</t>
  </si>
  <si>
    <t>Honorario Mínimo</t>
  </si>
  <si>
    <t>Coeficiente de actualización PH</t>
  </si>
  <si>
    <t>Coeficiente de actualizacion Agrimensura</t>
  </si>
  <si>
    <t>Ratificación de PH</t>
  </si>
  <si>
    <t>Coeficiente de actualizacion</t>
  </si>
  <si>
    <t>d.5.1. Relevamiento para certificado de deslinde y amojonamiento para una parcela</t>
  </si>
  <si>
    <t>d.5.3. Relevamiento para certificado de deslinde y amojonamiento con relevamiento de árboles y altimetría</t>
  </si>
  <si>
    <t>Coeficiente actualización ASP</t>
  </si>
  <si>
    <t>d.5.4. Relevamiento para certificado de retiro de línea municipal</t>
  </si>
  <si>
    <t>d.5.5. Relevamiento para certificado de deslinde y amojonamiento de una parcela, relevamiento de planialtimetría y georreferenciación</t>
  </si>
  <si>
    <t>Estudio de Licitacion</t>
  </si>
  <si>
    <t>Art. 6°</t>
  </si>
  <si>
    <t>Propiedad Horizontal incl Legajo parcelario</t>
  </si>
  <si>
    <t>Croquis de Ubicación</t>
  </si>
  <si>
    <t>Mensura solamente</t>
  </si>
  <si>
    <t>DDJJ Revalúos (2 formularios)</t>
  </si>
  <si>
    <t>Mensura y división</t>
  </si>
  <si>
    <t>DDJJ Revalúos (x cada formulario excedente)</t>
  </si>
  <si>
    <t>Higiene y Seguridad en Const. Valor Honorario</t>
  </si>
  <si>
    <t>Plano Decreto 947</t>
  </si>
  <si>
    <t>DT de empresas bajo el registro de licitadores</t>
  </si>
  <si>
    <t>mensual</t>
  </si>
  <si>
    <t>Vinculación a la RED GEOBA</t>
  </si>
  <si>
    <t>Medicion (incl I.T como DDJJ) viv cat A</t>
  </si>
  <si>
    <t>Medicion (incl I.T como DDJJ) dentro de las otras categorias</t>
  </si>
  <si>
    <t>CATEM</t>
  </si>
  <si>
    <t>a</t>
  </si>
  <si>
    <t>Valor HP o CV</t>
  </si>
  <si>
    <t>De</t>
  </si>
  <si>
    <t>Valor Boca cualquier tipo</t>
  </si>
  <si>
    <t>Medicion Electromecanica</t>
  </si>
  <si>
    <t>Monto por Ascensor</t>
  </si>
  <si>
    <t>Mensura Usucapión</t>
  </si>
  <si>
    <t>Hon Acumulado</t>
  </si>
  <si>
    <t>DT Alimentación</t>
  </si>
  <si>
    <t>Hasta</t>
  </si>
  <si>
    <t>Coeficiente k de Agrimensura</t>
  </si>
  <si>
    <t>PH (Medición Tabla XXI - Inciso d)</t>
  </si>
  <si>
    <t>DT Agroquímicos</t>
  </si>
  <si>
    <t>Medición Tabla XXI - Inciso c)</t>
  </si>
  <si>
    <t>URBANO EDIFICADO</t>
  </si>
  <si>
    <t>Coeficiente de actualizacion Agrimensura k</t>
  </si>
  <si>
    <t>Honorario Mínimo EP Baldío</t>
  </si>
  <si>
    <t>Honorario Mínimo EP Construido</t>
  </si>
  <si>
    <t>URBANO BALDIO</t>
  </si>
  <si>
    <t>Puente grúas</t>
  </si>
  <si>
    <t>RURAL BALDIO</t>
  </si>
  <si>
    <t>Dirección del Servicio de Higiene y Seguridad en el Trabajo</t>
  </si>
  <si>
    <t>Cantidad de horas mensuales</t>
  </si>
  <si>
    <t>N° de operarios</t>
  </si>
  <si>
    <t>Valor Mín Honorario</t>
  </si>
  <si>
    <t>1 a 250</t>
  </si>
  <si>
    <t>251 a 300</t>
  </si>
  <si>
    <t>301 a 350</t>
  </si>
  <si>
    <t>351 a 400</t>
  </si>
  <si>
    <t>Baldío o con mejoras</t>
  </si>
  <si>
    <t>Con construcciones</t>
  </si>
  <si>
    <t>401 a 500</t>
  </si>
  <si>
    <t>Hasta 1 Ha.</t>
  </si>
  <si>
    <t>501 a 550</t>
  </si>
  <si>
    <t>551 a 600</t>
  </si>
  <si>
    <t>601 a 650</t>
  </si>
  <si>
    <t>651 a 700</t>
  </si>
  <si>
    <t>701 a 750</t>
  </si>
  <si>
    <t>751 a 800</t>
  </si>
  <si>
    <t>801 a 850</t>
  </si>
  <si>
    <t>851 a 900</t>
  </si>
  <si>
    <t>mas de 901</t>
  </si>
  <si>
    <t>Mas de 500 Ha.</t>
  </si>
  <si>
    <t>Coordinación del Servicio de Higiene y Seguridad en el Trabajo</t>
  </si>
  <si>
    <t>Honorario Mensual Mínimo</t>
  </si>
  <si>
    <t>EIA en Línas Eléctricas</t>
  </si>
  <si>
    <t>1 a 15</t>
  </si>
  <si>
    <t>a) Componente fija</t>
  </si>
  <si>
    <t>16 a 50</t>
  </si>
  <si>
    <t>b) en Función del Monto de Obra</t>
  </si>
  <si>
    <t>51 a 100</t>
  </si>
  <si>
    <t>ZONA RURAL</t>
  </si>
  <si>
    <t>101 a 150</t>
  </si>
  <si>
    <t>151 a 200</t>
  </si>
  <si>
    <t>201 a 300</t>
  </si>
  <si>
    <t>301 a 400</t>
  </si>
  <si>
    <t>501 a 600</t>
  </si>
  <si>
    <t>601 a 700</t>
  </si>
  <si>
    <t>701 a 800</t>
  </si>
  <si>
    <t>ZONA URBANA</t>
  </si>
  <si>
    <t>801 a 900</t>
  </si>
  <si>
    <t>901 a 1000</t>
  </si>
  <si>
    <t>1001 a 1250</t>
  </si>
  <si>
    <t>1251 a 1500</t>
  </si>
  <si>
    <t>1501 a 2000</t>
  </si>
  <si>
    <t>mas de 2000</t>
  </si>
  <si>
    <t>RURAL EDIFICADO</t>
  </si>
  <si>
    <t>EXCEDENTE</t>
  </si>
  <si>
    <t>DRONES Relevamientos Topográficos y Geodésicos</t>
  </si>
  <si>
    <t>Has.</t>
  </si>
  <si>
    <t>coeficiente</t>
  </si>
  <si>
    <t>Vmín</t>
  </si>
  <si>
    <t>N° PAF</t>
  </si>
  <si>
    <t>Vmin</t>
  </si>
  <si>
    <t>cod</t>
  </si>
  <si>
    <t>Código</t>
  </si>
  <si>
    <t>Partido</t>
  </si>
  <si>
    <t>Circunscripción</t>
  </si>
  <si>
    <t>Valor Óptimo por Ha</t>
  </si>
  <si>
    <t>ADOLFO ALSINA</t>
  </si>
  <si>
    <t>ALBERTI</t>
  </si>
  <si>
    <t>ALMIRANTE BROWN</t>
  </si>
  <si>
    <t>AVELLANEDA</t>
  </si>
  <si>
    <t>AYACUCHO</t>
  </si>
  <si>
    <t>AZUL</t>
  </si>
  <si>
    <t>BAHIA BLANCA</t>
  </si>
  <si>
    <t>BALCARCE</t>
  </si>
  <si>
    <t>BARADERO</t>
  </si>
  <si>
    <t>ARRECIFES</t>
  </si>
  <si>
    <t>BOLIVAR</t>
  </si>
  <si>
    <t>BRAGADO</t>
  </si>
  <si>
    <t>BRANDSEN</t>
  </si>
  <si>
    <t>CAMPANA</t>
  </si>
  <si>
    <t>CAÑUELAS</t>
  </si>
  <si>
    <t>CARLOS CASARES</t>
  </si>
  <si>
    <t>CARLOS TEJEDOR</t>
  </si>
  <si>
    <t>CARMEN DE ARECO</t>
  </si>
  <si>
    <t>DAIREAUX</t>
  </si>
  <si>
    <t>CASTELLI</t>
  </si>
  <si>
    <t>COLÓN</t>
  </si>
  <si>
    <t>CORONEL DORREGO</t>
  </si>
  <si>
    <t>CORONEL PRINGLES</t>
  </si>
  <si>
    <t>CORONEL SUAREZ</t>
  </si>
  <si>
    <t>CHACABUCO</t>
  </si>
  <si>
    <t>CHASCOMUS</t>
  </si>
  <si>
    <t>CHIVILCOY</t>
  </si>
  <si>
    <t>DOLORES</t>
  </si>
  <si>
    <t>ESTEBAN ECHEVERRÍA</t>
  </si>
  <si>
    <t>EXALTACION DE LA CRUZ</t>
  </si>
  <si>
    <t>FLORENCIO VARELA</t>
  </si>
  <si>
    <t>GENERAL ALVARADO</t>
  </si>
  <si>
    <t>GENERAL ALVEAR</t>
  </si>
  <si>
    <t>GENERAL ARENALES</t>
  </si>
  <si>
    <t>GENERAL BELGRANO</t>
  </si>
  <si>
    <t>GENERAL GUIDO</t>
  </si>
  <si>
    <t>ZÁRATE</t>
  </si>
  <si>
    <t>GENERAL MADARIAGA</t>
  </si>
  <si>
    <t>GENERAL LAMADRID</t>
  </si>
  <si>
    <t>GENERAL LAS HERAS</t>
  </si>
  <si>
    <t>GENERAL LAVALLE</t>
  </si>
  <si>
    <t>GENERAL PAZ</t>
  </si>
  <si>
    <t>GENERAL PINTO</t>
  </si>
  <si>
    <t>GENERAL PUEYRREDÓN</t>
  </si>
  <si>
    <t>GENERAL RODRIGUEZ</t>
  </si>
  <si>
    <t>GENERAL VIAMONTE</t>
  </si>
  <si>
    <t>GENERAL VILLEGAS</t>
  </si>
  <si>
    <t>ADOLFO GONZALEZ CHAVES</t>
  </si>
  <si>
    <t>GUAMINÍ</t>
  </si>
  <si>
    <t>BENITO JUAREZ</t>
  </si>
  <si>
    <t>JUNIN</t>
  </si>
  <si>
    <t>LA PLATA</t>
  </si>
  <si>
    <t>LAPRIDA</t>
  </si>
  <si>
    <t>TIGRE</t>
  </si>
  <si>
    <t>LAS FLORES</t>
  </si>
  <si>
    <t>LEANDRO ALEM</t>
  </si>
  <si>
    <t>LINCOLN</t>
  </si>
  <si>
    <t>LOBERÍA</t>
  </si>
  <si>
    <t>LOBOS</t>
  </si>
  <si>
    <t>LUJAN</t>
  </si>
  <si>
    <t>MAGDALENA</t>
  </si>
  <si>
    <t>MAIPÚ</t>
  </si>
  <si>
    <t>SALTO</t>
  </si>
  <si>
    <t>MARCOS PAZ</t>
  </si>
  <si>
    <t>MAR CHIQUITA</t>
  </si>
  <si>
    <t>LA MATANZA</t>
  </si>
  <si>
    <t>MERCEDES</t>
  </si>
  <si>
    <t>MERLO</t>
  </si>
  <si>
    <t>MONTE</t>
  </si>
  <si>
    <t>MORENO</t>
  </si>
  <si>
    <t>NAVARRO</t>
  </si>
  <si>
    <t>NECOCHEA</t>
  </si>
  <si>
    <t>NUEVE DE JULIO</t>
  </si>
  <si>
    <t>OLAVARRIA</t>
  </si>
  <si>
    <t>PATAGONES</t>
  </si>
  <si>
    <t>PEHUAJÓ</t>
  </si>
  <si>
    <t>PELLEGRINI</t>
  </si>
  <si>
    <t>PERGAMINO</t>
  </si>
  <si>
    <t>PILA</t>
  </si>
  <si>
    <t>PILAR</t>
  </si>
  <si>
    <t>PUÁN</t>
  </si>
  <si>
    <t>QUILMES</t>
  </si>
  <si>
    <t>RAMALLO</t>
  </si>
  <si>
    <t>RAUCH</t>
  </si>
  <si>
    <t>RIVADAVIA</t>
  </si>
  <si>
    <t>1. 773</t>
  </si>
  <si>
    <t>ROJAS</t>
  </si>
  <si>
    <t>ROQUE PÉREZ</t>
  </si>
  <si>
    <t>SAAVEDRA</t>
  </si>
  <si>
    <t>SALADILLO</t>
  </si>
  <si>
    <t>SAN ANDRÉS DE GILES</t>
  </si>
  <si>
    <t>SAN ANTONIO DE ARECO</t>
  </si>
  <si>
    <t>SAN NICOLÁS</t>
  </si>
  <si>
    <t>SAN PEDRO</t>
  </si>
  <si>
    <t>SAN VICENTE</t>
  </si>
  <si>
    <t>SUIPACHA</t>
  </si>
  <si>
    <t>TANDIL</t>
  </si>
  <si>
    <t>TAPALQUÉ</t>
  </si>
  <si>
    <t>TORDILLO</t>
  </si>
  <si>
    <t>TORNQUIST</t>
  </si>
  <si>
    <t>TRENQUE LAUQUEN</t>
  </si>
  <si>
    <t>TRES ARROYOS</t>
  </si>
  <si>
    <t>VEINTICINO DE MAYO</t>
  </si>
  <si>
    <t>VILLARINO</t>
  </si>
  <si>
    <t>CORONEL ROSALES</t>
  </si>
  <si>
    <t>BERISSO</t>
  </si>
  <si>
    <t>ENSENADA</t>
  </si>
  <si>
    <t>SAN CAYETANO</t>
  </si>
  <si>
    <t>ESCOBAR</t>
  </si>
  <si>
    <t>HIPÓLITO YRIGOYEN</t>
  </si>
  <si>
    <t>BERAZATEGUI</t>
  </si>
  <si>
    <t>CAPITÁN SARMIENTO</t>
  </si>
  <si>
    <t>SALLIQUELÓ</t>
  </si>
  <si>
    <t>LA COSTA</t>
  </si>
  <si>
    <t>PINAMAR</t>
  </si>
  <si>
    <t>VILLA GESELL</t>
  </si>
  <si>
    <t>MONTE HERMOSO</t>
  </si>
  <si>
    <t>TRES LOMAS</t>
  </si>
  <si>
    <t>FLORENTINO AMEGHINO</t>
  </si>
  <si>
    <t>PRESIDENTE PERÓN</t>
  </si>
  <si>
    <t>EZEIZA</t>
  </si>
  <si>
    <t>SAN MIGUEL</t>
  </si>
  <si>
    <t>JOSÉ C. PAZ</t>
  </si>
  <si>
    <t>MALVINAS ARGENTINAS</t>
  </si>
  <si>
    <t>PUNTA INDIO</t>
  </si>
  <si>
    <t>ISLAS BARADERO</t>
  </si>
  <si>
    <t>ISLAS CAMPANA</t>
  </si>
  <si>
    <t>ISLAS ZÁRATE</t>
  </si>
  <si>
    <t>ISLAS TIGRE</t>
  </si>
  <si>
    <t>ISLAS RAMALLO</t>
  </si>
  <si>
    <t>ISLAS SAN FERNANDO</t>
  </si>
  <si>
    <t>ISALAS SAN NICOLÁS</t>
  </si>
  <si>
    <t>ISLAS SAN PEDRO</t>
  </si>
  <si>
    <t xml:space="preserve"> </t>
  </si>
  <si>
    <t>TABLA VI</t>
  </si>
  <si>
    <t>Coef</t>
  </si>
  <si>
    <t xml:space="preserve">TABLA VI </t>
  </si>
  <si>
    <t>Adicinal por cantidad de parcelas</t>
  </si>
  <si>
    <t>Adicional por unidades caracteristicas</t>
  </si>
  <si>
    <t>Cant</t>
  </si>
  <si>
    <t>$</t>
  </si>
  <si>
    <t>mas de 50</t>
  </si>
  <si>
    <t>por unidad</t>
  </si>
  <si>
    <t>Fecha de Contrato:</t>
  </si>
  <si>
    <t>Profesional:</t>
  </si>
  <si>
    <t>Comitente:</t>
  </si>
  <si>
    <t xml:space="preserve">APARATOS SOMETIDOS A PRESION </t>
  </si>
  <si>
    <t>Sin Fuego</t>
  </si>
  <si>
    <t>Con Fuego</t>
  </si>
  <si>
    <t>Habilitacion</t>
  </si>
  <si>
    <t>Inspeccion</t>
  </si>
  <si>
    <t>Extensio</t>
  </si>
  <si>
    <t>TAREA</t>
  </si>
  <si>
    <t>APARATOS SIN FUEGO</t>
  </si>
  <si>
    <t>APARATOS CON FUEGO</t>
  </si>
  <si>
    <t>HºPº por Habilitación</t>
  </si>
  <si>
    <t>Hº.Pº. = 155 + 21 * (P*V)^1/3</t>
  </si>
  <si>
    <t>Hª.Pª. = 340 + 7 * (P*S)^1/2</t>
  </si>
  <si>
    <t>HºPº por Inspección Periódica</t>
  </si>
  <si>
    <t>Hª.Pª. = 100 + 12 * (P*V)^1/3</t>
  </si>
  <si>
    <t>Hª.Pª. = 160 + 5 * (P*S)^1/2</t>
  </si>
  <si>
    <t>HºPº por Extensión de Vida Util</t>
  </si>
  <si>
    <t>Hª.Pª. = 300 + 34 * (P*V)^1/3</t>
  </si>
  <si>
    <t>Hª.Pª. = 780 + 16 * (P*S)^1/2</t>
  </si>
  <si>
    <t>Al HºPº calculado se lo multiplica por :</t>
  </si>
  <si>
    <t>Tarea a</t>
  </si>
  <si>
    <t>Presión</t>
  </si>
  <si>
    <t>Volumen</t>
  </si>
  <si>
    <t>Sup. de Calef.</t>
  </si>
  <si>
    <t>Realizar</t>
  </si>
  <si>
    <t>(kg/cm2)</t>
  </si>
  <si>
    <t>(m3)</t>
  </si>
  <si>
    <t>($)</t>
  </si>
  <si>
    <t>(m2)</t>
  </si>
  <si>
    <t>Sub-Total</t>
  </si>
  <si>
    <t>Cantidad de aparatos</t>
  </si>
  <si>
    <t>Coeficiente de reducción por cantidad de aparatos</t>
  </si>
  <si>
    <t>Honorario Profesional Mínimo</t>
  </si>
  <si>
    <t>Honorario Profesional Adoptado</t>
  </si>
  <si>
    <t>EL HONORARIO ADOPTADO DEBE SER COMPLETADO EN ESTA CELDA</t>
  </si>
  <si>
    <t>EL HONORARIO ADOPTADO NO DEBE SER MENOR AL HP MÍNIMO</t>
  </si>
  <si>
    <t>Firma y sello del Profesional</t>
  </si>
  <si>
    <t>TIMBRADO</t>
  </si>
  <si>
    <t>Mensura de DUCTOS</t>
  </si>
  <si>
    <t>Plano de Mensura y División</t>
  </si>
  <si>
    <r>
      <t xml:space="preserve">1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5</t>
    </r>
  </si>
  <si>
    <r>
      <t xml:space="preserve">5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25</t>
    </r>
  </si>
  <si>
    <r>
      <t xml:space="preserve">25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50</t>
    </r>
  </si>
  <si>
    <r>
      <t xml:space="preserve">50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100</t>
    </r>
  </si>
  <si>
    <r>
      <t xml:space="preserve">100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200</t>
    </r>
  </si>
  <si>
    <r>
      <t xml:space="preserve">200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300</t>
    </r>
  </si>
  <si>
    <r>
      <t xml:space="preserve">300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400</t>
    </r>
  </si>
  <si>
    <r>
      <t xml:space="preserve">400 </t>
    </r>
    <r>
      <rPr>
        <sz val="10"/>
        <rFont val="Arial Narrow"/>
        <family val="2"/>
      </rPr>
      <t>&lt;</t>
    </r>
    <r>
      <rPr>
        <sz val="10"/>
        <rFont val="Arial"/>
        <family val="2"/>
      </rPr>
      <t xml:space="preserve"> Ha. </t>
    </r>
    <r>
      <rPr>
        <sz val="10"/>
        <rFont val="Arial Narrow"/>
        <family val="2"/>
      </rPr>
      <t>≤</t>
    </r>
    <r>
      <rPr>
        <sz val="10"/>
        <rFont val="Arial"/>
        <family val="2"/>
      </rPr>
      <t xml:space="preserve"> 500</t>
    </r>
  </si>
  <si>
    <t>DT de empresa productora, transportista y/o operadora de sustancias y residuos especiales</t>
  </si>
  <si>
    <t>NUFc</t>
  </si>
  <si>
    <t>NUFec</t>
  </si>
  <si>
    <t>(1)</t>
  </si>
  <si>
    <t>NUFe + NUFec</t>
  </si>
  <si>
    <t>(2)</t>
  </si>
  <si>
    <t>(3)</t>
  </si>
  <si>
    <t>(1) x (2)</t>
  </si>
  <si>
    <t>NUFb</t>
  </si>
  <si>
    <t>(4)</t>
  </si>
  <si>
    <t>(3) + NUFb</t>
  </si>
  <si>
    <t>N</t>
  </si>
  <si>
    <t>(5)</t>
  </si>
  <si>
    <r>
      <rPr>
        <sz val="10"/>
        <rFont val="Aptos Narrow"/>
        <family val="2"/>
      </rPr>
      <t>√</t>
    </r>
    <r>
      <rPr>
        <sz val="8.5"/>
        <rFont val="Arial"/>
        <family val="2"/>
      </rPr>
      <t>N-1</t>
    </r>
  </si>
  <si>
    <t>(6)</t>
  </si>
  <si>
    <t>(4)/(5)</t>
  </si>
  <si>
    <t>(7)</t>
  </si>
  <si>
    <t>N-2</t>
  </si>
  <si>
    <t>(8)</t>
  </si>
  <si>
    <t>3 x (N-1)</t>
  </si>
  <si>
    <t>(9)</t>
  </si>
  <si>
    <t>(7)/(8)</t>
  </si>
  <si>
    <t>(10)</t>
  </si>
  <si>
    <t>Hmin x (6) x (9)</t>
  </si>
  <si>
    <t>Res N° 1.522</t>
  </si>
  <si>
    <t>REPRESENTACIÓN TÉCNICA DE EMPRESA PROVEEDORA DE SERVICIOS ALIMENTARIOS Y ALIMENTOS</t>
  </si>
  <si>
    <t>Hon Parcial</t>
  </si>
  <si>
    <t>CEP</t>
  </si>
  <si>
    <t>APORTE PREVISIONAL</t>
  </si>
  <si>
    <t>TOTAL GASTOS</t>
  </si>
  <si>
    <t>Vigente desde el 01/01/2026</t>
  </si>
  <si>
    <t>Bien ubicado en:</t>
  </si>
  <si>
    <t>Localidad:</t>
  </si>
  <si>
    <t>Partido: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</si>
</sst>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-&quot;$&quot;\ * #,##0.00_-;\-&quot;$&quot;\ * #,##0.00_-;_-&quot;$&quot;\ * &quot;-&quot;??_-;_-@_-"/>
    <numFmt numFmtId="164" formatCode="_ * #,##0.00_ ;_ * \-#,##0.00_ ;_ * \-??_ ;_ @_ "/>
    <numFmt numFmtId="165" formatCode="0\ %"/>
    <numFmt numFmtId="166" formatCode="0.000"/>
    <numFmt numFmtId="167" formatCode="d&quot; de &quot;mmm&quot; de &quot;yy"/>
    <numFmt numFmtId="168" formatCode="_ * #,##0_ ;_ * \-#,##0_ ;_ * \-??_ ;_ @_ "/>
    <numFmt numFmtId="169" formatCode="0.0%"/>
    <numFmt numFmtId="170" formatCode="0.00\ %"/>
    <numFmt numFmtId="171" formatCode="_-* #,##0.00_-;\-* #,##0.00_-;_-* \-??_-;_-@_-"/>
    <numFmt numFmtId="172" formatCode="[$$-2C0A]\ #,##0.00"/>
    <numFmt numFmtId="173" formatCode="0.000000000"/>
    <numFmt numFmtId="174" formatCode="[$$-2C0A]\ #,##0"/>
    <numFmt numFmtId="175" formatCode="[$$-2C0A]\ #,##0.00;[$$-2C0A]&quot; -&quot;#,##0.00"/>
    <numFmt numFmtId="176" formatCode="_ &quot;$ &quot;* #,##0.00_ ;_ &quot;$ &quot;* \-#,##0.00_ ;_ &quot;$ &quot;* \-??_ ;_ @_ "/>
    <numFmt numFmtId="177" formatCode="0.00000"/>
    <numFmt numFmtId="178" formatCode="#,##0.0000"/>
    <numFmt numFmtId="179" formatCode="[$$-2C0A]\ #,##0.00;\-[$$-2C0A]\ #,##0.00"/>
    <numFmt numFmtId="180" formatCode="#,##0.000"/>
    <numFmt numFmtId="181" formatCode="0.0000"/>
    <numFmt numFmtId="182" formatCode="_-* #,##0_-;\-* #,##0_-;_-* \-_-;_-@_-"/>
    <numFmt numFmtId="183" formatCode="dd\-mm\-yy;@"/>
    <numFmt numFmtId="184" formatCode="#,##0.000_ ;\-#,##0.000\ "/>
    <numFmt numFmtId="185" formatCode="[$$-2C0A]\ #,##0.00;[$$-2C0A]\ \-#,##0.00"/>
    <numFmt numFmtId="186" formatCode="_ &quot;$&quot;\ * #,##0.00_ ;_ &quot;$&quot;\ * \-#,##0.00_ ;_ &quot;$&quot;\ * &quot;-&quot;??_ ;_ @_ "/>
    <numFmt numFmtId="187" formatCode="_ * #,##0_ ;_ * \-#,##0_ ;_ * &quot;-&quot;??_ ;_ @_ "/>
    <numFmt numFmtId="188" formatCode="&quot;$&quot;\ #,##0.00;[Red]&quot;$&quot;\ \-#,##0.00"/>
    <numFmt numFmtId="189" formatCode="&quot;$&quot;\ #,##0;[Red]&quot;$&quot;\ \-#,##0"/>
    <numFmt numFmtId="190" formatCode="&quot;$&quot;\ #,##0.00"/>
  </numFmts>
  <fonts count="5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color indexed="49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6"/>
      <name val="Times New Roman"/>
      <family val="1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sz val="10"/>
      <name val="Aptos Narrow"/>
      <family val="2"/>
    </font>
    <font>
      <sz val="8.5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485"/>
        <bgColor indexed="9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49" fillId="0" borderId="0" applyFill="0" applyBorder="0" applyAlignment="0" applyProtection="0"/>
    <xf numFmtId="164" fontId="49" fillId="0" borderId="0" applyFill="0" applyBorder="0" applyAlignment="0" applyProtection="0"/>
    <xf numFmtId="164" fontId="49" fillId="0" borderId="0" applyFill="0" applyBorder="0" applyAlignment="0" applyProtection="0"/>
    <xf numFmtId="176" fontId="49" fillId="0" borderId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49" fillId="23" borderId="5" applyNumberFormat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165" fontId="49" fillId="0" borderId="0" applyFill="0" applyBorder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323">
    <xf numFmtId="0" fontId="0" fillId="0" borderId="0" xfId="0"/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166" fontId="20" fillId="0" borderId="10" xfId="0" applyNumberFormat="1" applyFont="1" applyBorder="1" applyAlignment="1" applyProtection="1">
      <alignment horizontal="center"/>
      <protection hidden="1"/>
    </xf>
    <xf numFmtId="167" fontId="20" fillId="0" borderId="0" xfId="0" applyNumberFormat="1" applyFont="1" applyAlignment="1" applyProtection="1">
      <alignment horizontal="center"/>
      <protection hidden="1"/>
    </xf>
    <xf numFmtId="166" fontId="20" fillId="0" borderId="0" xfId="0" applyNumberFormat="1" applyFont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168" fontId="12" fillId="0" borderId="11" xfId="33" applyNumberFormat="1" applyFont="1" applyFill="1" applyBorder="1" applyAlignment="1" applyProtection="1">
      <protection hidden="1"/>
    </xf>
    <xf numFmtId="168" fontId="12" fillId="0" borderId="12" xfId="33" applyNumberFormat="1" applyFont="1" applyFill="1" applyBorder="1" applyAlignment="1" applyProtection="1">
      <protection hidden="1"/>
    </xf>
    <xf numFmtId="169" fontId="12" fillId="0" borderId="11" xfId="40" applyNumberFormat="1" applyFont="1" applyFill="1" applyBorder="1" applyAlignment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Alignment="1" applyProtection="1">
      <alignment horizontal="center"/>
      <protection hidden="1"/>
    </xf>
    <xf numFmtId="169" fontId="12" fillId="0" borderId="13" xfId="40" applyNumberFormat="1" applyFont="1" applyFill="1" applyBorder="1" applyAlignment="1" applyProtection="1">
      <protection hidden="1"/>
    </xf>
    <xf numFmtId="0" fontId="0" fillId="0" borderId="14" xfId="0" applyBorder="1" applyProtection="1">
      <protection hidden="1"/>
    </xf>
    <xf numFmtId="170" fontId="12" fillId="0" borderId="11" xfId="40" applyNumberFormat="1" applyFont="1" applyFill="1" applyBorder="1" applyAlignment="1" applyProtection="1">
      <protection hidden="1"/>
    </xf>
    <xf numFmtId="170" fontId="12" fillId="0" borderId="13" xfId="4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170" fontId="12" fillId="0" borderId="0" xfId="40" applyNumberFormat="1" applyFont="1" applyFill="1" applyBorder="1" applyAlignment="1" applyProtection="1">
      <protection hidden="1"/>
    </xf>
    <xf numFmtId="169" fontId="12" fillId="0" borderId="0" xfId="40" applyNumberFormat="1" applyFont="1" applyFill="1" applyBorder="1" applyAlignment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168" fontId="12" fillId="0" borderId="14" xfId="33" applyNumberFormat="1" applyFont="1" applyFill="1" applyBorder="1" applyAlignment="1" applyProtection="1">
      <protection hidden="1"/>
    </xf>
    <xf numFmtId="3" fontId="12" fillId="0" borderId="12" xfId="33" applyNumberFormat="1" applyFont="1" applyFill="1" applyBorder="1" applyAlignment="1" applyProtection="1">
      <protection hidden="1"/>
    </xf>
    <xf numFmtId="4" fontId="0" fillId="0" borderId="0" xfId="0" applyNumberFormat="1" applyProtection="1">
      <protection hidden="1"/>
    </xf>
    <xf numFmtId="168" fontId="12" fillId="0" borderId="0" xfId="33" applyNumberFormat="1" applyFont="1" applyFill="1" applyBorder="1" applyAlignment="1" applyProtection="1">
      <protection hidden="1"/>
    </xf>
    <xf numFmtId="164" fontId="12" fillId="0" borderId="12" xfId="33" applyFont="1" applyFill="1" applyBorder="1" applyAlignment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164" fontId="12" fillId="0" borderId="20" xfId="33" applyFont="1" applyFill="1" applyBorder="1" applyAlignment="1" applyProtection="1">
      <protection hidden="1"/>
    </xf>
    <xf numFmtId="0" fontId="0" fillId="0" borderId="20" xfId="0" applyBorder="1" applyAlignment="1" applyProtection="1">
      <alignment horizontal="right"/>
      <protection hidden="1"/>
    </xf>
    <xf numFmtId="164" fontId="12" fillId="0" borderId="21" xfId="33" applyFont="1" applyFill="1" applyBorder="1" applyAlignment="1" applyProtection="1">
      <protection hidden="1"/>
    </xf>
    <xf numFmtId="164" fontId="12" fillId="0" borderId="14" xfId="33" applyFont="1" applyFill="1" applyBorder="1" applyAlignment="1" applyProtection="1">
      <protection hidden="1"/>
    </xf>
    <xf numFmtId="171" fontId="0" fillId="0" borderId="0" xfId="0" applyNumberFormat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1" xfId="0" applyBorder="1" applyProtection="1">
      <protection hidden="1"/>
    </xf>
    <xf numFmtId="164" fontId="12" fillId="0" borderId="10" xfId="33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0" xfId="0" applyBorder="1" applyProtection="1">
      <protection hidden="1"/>
    </xf>
    <xf numFmtId="164" fontId="12" fillId="0" borderId="10" xfId="33" applyFont="1" applyFill="1" applyBorder="1" applyAlignment="1" applyProtection="1">
      <protection hidden="1"/>
    </xf>
    <xf numFmtId="0" fontId="0" fillId="0" borderId="22" xfId="0" applyBorder="1" applyProtection="1">
      <protection hidden="1"/>
    </xf>
    <xf numFmtId="164" fontId="12" fillId="0" borderId="22" xfId="33" applyFont="1" applyFill="1" applyBorder="1" applyAlignment="1" applyProtection="1">
      <protection hidden="1"/>
    </xf>
    <xf numFmtId="165" fontId="0" fillId="0" borderId="23" xfId="0" applyNumberFormat="1" applyBorder="1" applyAlignment="1" applyProtection="1">
      <alignment horizontal="center"/>
      <protection hidden="1"/>
    </xf>
    <xf numFmtId="0" fontId="22" fillId="0" borderId="23" xfId="0" applyFont="1" applyBorder="1" applyProtection="1">
      <protection hidden="1"/>
    </xf>
    <xf numFmtId="0" fontId="0" fillId="0" borderId="23" xfId="0" applyBorder="1" applyProtection="1">
      <protection hidden="1"/>
    </xf>
    <xf numFmtId="0" fontId="20" fillId="0" borderId="23" xfId="0" applyFont="1" applyBorder="1" applyAlignment="1" applyProtection="1">
      <alignment horizontal="center"/>
      <protection hidden="1"/>
    </xf>
    <xf numFmtId="0" fontId="22" fillId="0" borderId="24" xfId="0" applyFont="1" applyBorder="1" applyProtection="1">
      <protection hidden="1"/>
    </xf>
    <xf numFmtId="0" fontId="0" fillId="0" borderId="25" xfId="0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26" xfId="0" applyFont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21" fillId="0" borderId="29" xfId="0" applyFont="1" applyBorder="1" applyProtection="1">
      <protection hidden="1"/>
    </xf>
    <xf numFmtId="0" fontId="21" fillId="0" borderId="30" xfId="0" applyFont="1" applyBorder="1" applyProtection="1">
      <protection hidden="1"/>
    </xf>
    <xf numFmtId="0" fontId="21" fillId="0" borderId="27" xfId="0" applyFont="1" applyBorder="1" applyProtection="1">
      <protection hidden="1"/>
    </xf>
    <xf numFmtId="2" fontId="0" fillId="0" borderId="31" xfId="0" applyNumberFormat="1" applyBorder="1" applyAlignment="1" applyProtection="1">
      <alignment horizontal="center"/>
      <protection hidden="1"/>
    </xf>
    <xf numFmtId="2" fontId="0" fillId="0" borderId="10" xfId="0" applyNumberFormat="1" applyBorder="1" applyAlignment="1" applyProtection="1">
      <alignment horizontal="center"/>
      <protection hidden="1"/>
    </xf>
    <xf numFmtId="0" fontId="21" fillId="0" borderId="32" xfId="0" applyFont="1" applyBorder="1" applyProtection="1">
      <protection hidden="1"/>
    </xf>
    <xf numFmtId="0" fontId="0" fillId="0" borderId="32" xfId="0" applyBorder="1" applyProtection="1">
      <protection hidden="1"/>
    </xf>
    <xf numFmtId="2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3" fontId="12" fillId="0" borderId="0" xfId="33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172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center"/>
      <protection hidden="1"/>
    </xf>
    <xf numFmtId="164" fontId="21" fillId="0" borderId="10" xfId="33" applyFont="1" applyFill="1" applyBorder="1" applyAlignment="1" applyProtection="1">
      <alignment horizontal="center"/>
      <protection hidden="1"/>
    </xf>
    <xf numFmtId="0" fontId="28" fillId="0" borderId="10" xfId="0" applyFont="1" applyBorder="1" applyAlignment="1" applyProtection="1">
      <alignment horizontal="center"/>
      <protection hidden="1"/>
    </xf>
    <xf numFmtId="3" fontId="28" fillId="0" borderId="10" xfId="0" applyNumberFormat="1" applyFont="1" applyBorder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10" xfId="0" applyFont="1" applyBorder="1" applyAlignment="1" applyProtection="1">
      <alignment horizontal="center"/>
      <protection hidden="1"/>
    </xf>
    <xf numFmtId="3" fontId="0" fillId="0" borderId="10" xfId="0" applyNumberForma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81" fontId="21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32" fillId="0" borderId="0" xfId="0" applyFont="1" applyProtection="1">
      <protection hidden="1"/>
    </xf>
    <xf numFmtId="0" fontId="32" fillId="0" borderId="10" xfId="0" applyFont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2" fontId="22" fillId="0" borderId="0" xfId="0" applyNumberFormat="1" applyFont="1" applyProtection="1">
      <protection hidden="1"/>
    </xf>
    <xf numFmtId="182" fontId="32" fillId="0" borderId="10" xfId="33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2" fontId="32" fillId="0" borderId="10" xfId="0" applyNumberFormat="1" applyFont="1" applyBorder="1" applyProtection="1">
      <protection hidden="1"/>
    </xf>
    <xf numFmtId="2" fontId="33" fillId="0" borderId="10" xfId="0" applyNumberFormat="1" applyFont="1" applyBorder="1" applyProtection="1">
      <protection hidden="1"/>
    </xf>
    <xf numFmtId="0" fontId="34" fillId="0" borderId="0" xfId="0" applyFont="1" applyProtection="1">
      <protection hidden="1"/>
    </xf>
    <xf numFmtId="2" fontId="33" fillId="0" borderId="0" xfId="0" applyNumberFormat="1" applyFont="1" applyProtection="1">
      <protection hidden="1"/>
    </xf>
    <xf numFmtId="2" fontId="32" fillId="0" borderId="0" xfId="0" applyNumberFormat="1" applyFont="1" applyProtection="1">
      <protection hidden="1"/>
    </xf>
    <xf numFmtId="164" fontId="32" fillId="0" borderId="10" xfId="33" applyFont="1" applyFill="1" applyBorder="1" applyAlignment="1" applyProtection="1">
      <protection hidden="1"/>
    </xf>
    <xf numFmtId="0" fontId="32" fillId="0" borderId="10" xfId="0" applyFont="1" applyBorder="1" applyProtection="1">
      <protection hidden="1"/>
    </xf>
    <xf numFmtId="0" fontId="35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32" fillId="0" borderId="0" xfId="0" applyFont="1" applyAlignment="1" applyProtection="1">
      <alignment horizontal="right"/>
      <protection hidden="1"/>
    </xf>
    <xf numFmtId="49" fontId="0" fillId="0" borderId="0" xfId="0" applyNumberFormat="1" applyProtection="1">
      <protection hidden="1"/>
    </xf>
    <xf numFmtId="183" fontId="21" fillId="0" borderId="0" xfId="0" applyNumberFormat="1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39" fillId="0" borderId="0" xfId="0" applyFont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41" fillId="0" borderId="0" xfId="0" applyFont="1" applyAlignment="1" applyProtection="1">
      <alignment textRotation="90"/>
      <protection hidden="1"/>
    </xf>
    <xf numFmtId="0" fontId="12" fillId="0" borderId="38" xfId="0" applyFont="1" applyBorder="1" applyAlignment="1" applyProtection="1">
      <alignment horizontal="center" vertical="center"/>
      <protection hidden="1"/>
    </xf>
    <xf numFmtId="0" fontId="42" fillId="0" borderId="39" xfId="0" applyFont="1" applyBorder="1" applyAlignment="1" applyProtection="1">
      <alignment horizontal="center" vertical="center"/>
      <protection hidden="1"/>
    </xf>
    <xf numFmtId="0" fontId="42" fillId="0" borderId="38" xfId="0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37" xfId="0" applyFont="1" applyBorder="1" applyAlignment="1" applyProtection="1">
      <alignment horizontal="center"/>
      <protection hidden="1"/>
    </xf>
    <xf numFmtId="0" fontId="12" fillId="0" borderId="40" xfId="0" applyFont="1" applyBorder="1" applyAlignment="1" applyProtection="1">
      <alignment horizontal="center" vertical="center"/>
      <protection hidden="1"/>
    </xf>
    <xf numFmtId="0" fontId="42" fillId="0" borderId="41" xfId="0" applyFont="1" applyBorder="1" applyAlignment="1" applyProtection="1">
      <alignment horizontal="center" vertical="center"/>
      <protection hidden="1"/>
    </xf>
    <xf numFmtId="0" fontId="42" fillId="0" borderId="40" xfId="0" applyFont="1" applyBorder="1" applyAlignment="1" applyProtection="1">
      <alignment horizontal="center" vertical="center"/>
      <protection hidden="1"/>
    </xf>
    <xf numFmtId="1" fontId="45" fillId="0" borderId="37" xfId="33" applyNumberFormat="1" applyFont="1" applyFill="1" applyBorder="1" applyAlignment="1" applyProtection="1">
      <alignment horizontal="center" vertical="center"/>
      <protection hidden="1"/>
    </xf>
    <xf numFmtId="175" fontId="35" fillId="0" borderId="43" xfId="33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3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textRotation="90"/>
      <protection hidden="1"/>
    </xf>
    <xf numFmtId="1" fontId="45" fillId="0" borderId="0" xfId="33" applyNumberFormat="1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textRotation="90"/>
      <protection hidden="1"/>
    </xf>
    <xf numFmtId="175" fontId="35" fillId="0" borderId="40" xfId="33" applyNumberFormat="1" applyFont="1" applyFill="1" applyBorder="1" applyAlignment="1" applyProtection="1">
      <alignment horizontal="center" vertical="center"/>
      <protection hidden="1"/>
    </xf>
    <xf numFmtId="0" fontId="45" fillId="0" borderId="40" xfId="0" applyFont="1" applyBorder="1" applyAlignment="1" applyProtection="1">
      <alignment horizontal="center"/>
      <protection hidden="1"/>
    </xf>
    <xf numFmtId="175" fontId="35" fillId="0" borderId="10" xfId="33" applyNumberFormat="1" applyFont="1" applyFill="1" applyBorder="1" applyAlignment="1" applyProtection="1">
      <alignment horizontal="center"/>
      <protection hidden="1"/>
    </xf>
    <xf numFmtId="1" fontId="39" fillId="0" borderId="0" xfId="0" applyNumberFormat="1" applyFont="1" applyAlignment="1" applyProtection="1">
      <alignment horizontal="center"/>
      <protection hidden="1"/>
    </xf>
    <xf numFmtId="1" fontId="39" fillId="0" borderId="1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textRotation="90"/>
      <protection hidden="1"/>
    </xf>
    <xf numFmtId="0" fontId="47" fillId="0" borderId="0" xfId="0" applyFont="1" applyProtection="1">
      <protection hidden="1"/>
    </xf>
    <xf numFmtId="0" fontId="48" fillId="0" borderId="36" xfId="0" applyFont="1" applyBorder="1"/>
    <xf numFmtId="0" fontId="48" fillId="0" borderId="0" xfId="0" applyFont="1"/>
    <xf numFmtId="0" fontId="23" fillId="0" borderId="44" xfId="0" applyFont="1" applyBorder="1" applyProtection="1">
      <protection hidden="1"/>
    </xf>
    <xf numFmtId="0" fontId="0" fillId="0" borderId="45" xfId="0" applyBorder="1" applyProtection="1">
      <protection hidden="1"/>
    </xf>
    <xf numFmtId="0" fontId="0" fillId="0" borderId="46" xfId="0" applyBorder="1" applyProtection="1">
      <protection hidden="1"/>
    </xf>
    <xf numFmtId="0" fontId="12" fillId="0" borderId="46" xfId="0" applyFont="1" applyBorder="1" applyProtection="1">
      <protection hidden="1"/>
    </xf>
    <xf numFmtId="172" fontId="21" fillId="24" borderId="47" xfId="0" applyNumberFormat="1" applyFont="1" applyFill="1" applyBorder="1" applyAlignment="1" applyProtection="1">
      <alignment horizontal="center"/>
      <protection locked="0"/>
    </xf>
    <xf numFmtId="0" fontId="12" fillId="0" borderId="44" xfId="0" applyFont="1" applyBorder="1" applyProtection="1">
      <protection hidden="1"/>
    </xf>
    <xf numFmtId="172" fontId="21" fillId="0" borderId="0" xfId="0" applyNumberFormat="1" applyFont="1" applyAlignment="1" applyProtection="1">
      <alignment horizontal="center"/>
      <protection locked="0"/>
    </xf>
    <xf numFmtId="172" fontId="21" fillId="0" borderId="47" xfId="0" applyNumberFormat="1" applyFont="1" applyBorder="1" applyAlignment="1" applyProtection="1">
      <alignment horizontal="center"/>
      <protection locked="0"/>
    </xf>
    <xf numFmtId="172" fontId="0" fillId="0" borderId="0" xfId="0" applyNumberFormat="1" applyAlignment="1" applyProtection="1">
      <alignment horizontal="center"/>
      <protection locked="0"/>
    </xf>
    <xf numFmtId="173" fontId="21" fillId="0" borderId="0" xfId="0" applyNumberFormat="1" applyFont="1" applyAlignment="1" applyProtection="1">
      <alignment horizontal="center"/>
      <protection locked="0"/>
    </xf>
    <xf numFmtId="166" fontId="21" fillId="24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2" fontId="21" fillId="24" borderId="47" xfId="0" applyNumberFormat="1" applyFont="1" applyFill="1" applyBorder="1" applyAlignment="1" applyProtection="1">
      <alignment horizontal="center"/>
      <protection locked="0"/>
    </xf>
    <xf numFmtId="166" fontId="21" fillId="0" borderId="0" xfId="0" applyNumberFormat="1" applyFont="1" applyAlignment="1" applyProtection="1">
      <alignment horizontal="center"/>
      <protection locked="0"/>
    </xf>
    <xf numFmtId="174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0" fontId="12" fillId="0" borderId="0" xfId="40" applyNumberFormat="1" applyFont="1" applyFill="1" applyBorder="1" applyAlignment="1" applyProtection="1">
      <alignment horizontal="center"/>
      <protection hidden="1"/>
    </xf>
    <xf numFmtId="185" fontId="12" fillId="0" borderId="0" xfId="33" applyNumberFormat="1" applyFont="1" applyFill="1" applyBorder="1" applyProtection="1">
      <protection hidden="1"/>
    </xf>
    <xf numFmtId="10" fontId="12" fillId="0" borderId="0" xfId="40" applyNumberFormat="1" applyFont="1" applyFill="1" applyBorder="1" applyProtection="1">
      <protection hidden="1"/>
    </xf>
    <xf numFmtId="185" fontId="0" fillId="0" borderId="0" xfId="0" applyNumberFormat="1" applyProtection="1">
      <protection hidden="1"/>
    </xf>
    <xf numFmtId="0" fontId="12" fillId="0" borderId="45" xfId="0" applyFont="1" applyBorder="1" applyProtection="1">
      <protection hidden="1"/>
    </xf>
    <xf numFmtId="0" fontId="12" fillId="0" borderId="48" xfId="0" applyFont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6" fontId="12" fillId="0" borderId="50" xfId="36" applyFont="1" applyFill="1" applyBorder="1" applyAlignment="1"/>
    <xf numFmtId="176" fontId="0" fillId="0" borderId="50" xfId="36" applyFont="1" applyBorder="1" applyAlignment="1"/>
    <xf numFmtId="44" fontId="0" fillId="0" borderId="0" xfId="0" applyNumberFormat="1" applyProtection="1">
      <protection hidden="1"/>
    </xf>
    <xf numFmtId="176" fontId="12" fillId="0" borderId="0" xfId="36" applyFont="1" applyFill="1" applyBorder="1" applyAlignment="1"/>
    <xf numFmtId="176" fontId="0" fillId="0" borderId="0" xfId="36" applyFont="1" applyBorder="1" applyAlignment="1"/>
    <xf numFmtId="187" fontId="12" fillId="0" borderId="0" xfId="33" applyNumberFormat="1" applyFont="1" applyFill="1" applyBorder="1" applyProtection="1">
      <protection hidden="1"/>
    </xf>
    <xf numFmtId="176" fontId="12" fillId="0" borderId="0" xfId="36" applyFont="1" applyBorder="1" applyAlignment="1"/>
    <xf numFmtId="177" fontId="0" fillId="0" borderId="0" xfId="0" applyNumberFormat="1" applyAlignment="1" applyProtection="1">
      <alignment horizontal="center"/>
      <protection locked="0"/>
    </xf>
    <xf numFmtId="188" fontId="21" fillId="0" borderId="0" xfId="0" applyNumberFormat="1" applyFont="1" applyProtection="1">
      <protection hidden="1"/>
    </xf>
    <xf numFmtId="178" fontId="21" fillId="25" borderId="0" xfId="0" applyNumberFormat="1" applyFont="1" applyFill="1" applyAlignment="1" applyProtection="1">
      <alignment horizontal="center"/>
      <protection locked="0"/>
    </xf>
    <xf numFmtId="189" fontId="21" fillId="0" borderId="0" xfId="0" applyNumberFormat="1" applyFont="1" applyProtection="1">
      <protection hidden="1"/>
    </xf>
    <xf numFmtId="2" fontId="0" fillId="0" borderId="0" xfId="0" applyNumberFormat="1" applyAlignment="1" applyProtection="1">
      <alignment horizontal="center"/>
      <protection locked="0"/>
    </xf>
    <xf numFmtId="172" fontId="0" fillId="0" borderId="51" xfId="0" applyNumberFormat="1" applyBorder="1" applyProtection="1">
      <protection hidden="1"/>
    </xf>
    <xf numFmtId="172" fontId="0" fillId="0" borderId="52" xfId="0" applyNumberFormat="1" applyBorder="1" applyProtection="1">
      <protection hidden="1"/>
    </xf>
    <xf numFmtId="186" fontId="0" fillId="0" borderId="45" xfId="0" applyNumberFormat="1" applyBorder="1" applyProtection="1">
      <protection hidden="1"/>
    </xf>
    <xf numFmtId="172" fontId="0" fillId="0" borderId="53" xfId="0" applyNumberFormat="1" applyBorder="1" applyProtection="1">
      <protection hidden="1"/>
    </xf>
    <xf numFmtId="186" fontId="0" fillId="0" borderId="48" xfId="0" applyNumberFormat="1" applyBorder="1" applyProtection="1">
      <protection hidden="1"/>
    </xf>
    <xf numFmtId="172" fontId="0" fillId="0" borderId="54" xfId="0" applyNumberFormat="1" applyBorder="1" applyProtection="1">
      <protection hidden="1"/>
    </xf>
    <xf numFmtId="186" fontId="0" fillId="24" borderId="51" xfId="0" applyNumberFormat="1" applyFill="1" applyBorder="1" applyProtection="1">
      <protection hidden="1"/>
    </xf>
    <xf numFmtId="186" fontId="0" fillId="0" borderId="50" xfId="0" applyNumberFormat="1" applyBorder="1" applyProtection="1">
      <protection hidden="1"/>
    </xf>
    <xf numFmtId="0" fontId="0" fillId="0" borderId="50" xfId="0" applyBorder="1" applyProtection="1">
      <protection hidden="1"/>
    </xf>
    <xf numFmtId="186" fontId="0" fillId="0" borderId="52" xfId="0" applyNumberFormat="1" applyBorder="1" applyProtection="1">
      <protection hidden="1"/>
    </xf>
    <xf numFmtId="186" fontId="0" fillId="24" borderId="0" xfId="0" applyNumberFormat="1" applyFill="1" applyProtection="1">
      <protection hidden="1"/>
    </xf>
    <xf numFmtId="186" fontId="0" fillId="0" borderId="0" xfId="0" applyNumberFormat="1" applyProtection="1">
      <protection hidden="1"/>
    </xf>
    <xf numFmtId="186" fontId="0" fillId="0" borderId="53" xfId="0" applyNumberFormat="1" applyBorder="1" applyProtection="1">
      <protection hidden="1"/>
    </xf>
    <xf numFmtId="0" fontId="0" fillId="0" borderId="48" xfId="0" applyBorder="1" applyProtection="1"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4" xfId="0" applyBorder="1" applyProtection="1">
      <protection hidden="1"/>
    </xf>
    <xf numFmtId="179" fontId="25" fillId="0" borderId="44" xfId="0" applyNumberFormat="1" applyFont="1" applyBorder="1" applyAlignment="1">
      <alignment horizontal="center"/>
    </xf>
    <xf numFmtId="1" fontId="0" fillId="0" borderId="0" xfId="0" applyNumberFormat="1" applyProtection="1">
      <protection hidden="1"/>
    </xf>
    <xf numFmtId="0" fontId="21" fillId="26" borderId="0" xfId="0" applyFont="1" applyFill="1"/>
    <xf numFmtId="0" fontId="0" fillId="26" borderId="0" xfId="0" applyFill="1"/>
    <xf numFmtId="179" fontId="25" fillId="0" borderId="55" xfId="0" applyNumberFormat="1" applyFont="1" applyBorder="1" applyAlignment="1">
      <alignment horizontal="center"/>
    </xf>
    <xf numFmtId="0" fontId="27" fillId="0" borderId="46" xfId="0" applyFont="1" applyBorder="1"/>
    <xf numFmtId="0" fontId="27" fillId="0" borderId="44" xfId="0" applyFont="1" applyBorder="1"/>
    <xf numFmtId="0" fontId="27" fillId="0" borderId="56" xfId="0" applyFont="1" applyBorder="1"/>
    <xf numFmtId="0" fontId="27" fillId="0" borderId="57" xfId="0" applyFont="1" applyBorder="1"/>
    <xf numFmtId="179" fontId="25" fillId="0" borderId="46" xfId="0" applyNumberFormat="1" applyFont="1" applyBorder="1" applyAlignment="1">
      <alignment horizontal="center"/>
    </xf>
    <xf numFmtId="2" fontId="27" fillId="0" borderId="55" xfId="0" applyNumberFormat="1" applyFont="1" applyBorder="1" applyAlignment="1">
      <alignment horizontal="center"/>
    </xf>
    <xf numFmtId="0" fontId="27" fillId="0" borderId="55" xfId="0" applyFont="1" applyBorder="1"/>
    <xf numFmtId="0" fontId="27" fillId="0" borderId="58" xfId="0" applyFont="1" applyBorder="1"/>
    <xf numFmtId="2" fontId="27" fillId="0" borderId="46" xfId="0" applyNumberFormat="1" applyFont="1" applyBorder="1" applyAlignment="1">
      <alignment horizontal="center"/>
    </xf>
    <xf numFmtId="179" fontId="25" fillId="0" borderId="56" xfId="0" applyNumberFormat="1" applyFont="1" applyBorder="1" applyAlignment="1">
      <alignment horizontal="center"/>
    </xf>
    <xf numFmtId="2" fontId="27" fillId="0" borderId="56" xfId="0" applyNumberFormat="1" applyFont="1" applyBorder="1" applyAlignment="1">
      <alignment horizontal="center"/>
    </xf>
    <xf numFmtId="0" fontId="0" fillId="0" borderId="50" xfId="0" applyBorder="1" applyAlignment="1" applyProtection="1">
      <alignment horizontal="center"/>
      <protection hidden="1"/>
    </xf>
    <xf numFmtId="172" fontId="52" fillId="0" borderId="59" xfId="0" applyNumberFormat="1" applyFont="1" applyBorder="1" applyAlignment="1" applyProtection="1">
      <alignment horizontal="center" vertical="center"/>
      <protection hidden="1"/>
    </xf>
    <xf numFmtId="0" fontId="21" fillId="28" borderId="0" xfId="0" applyFont="1" applyFill="1" applyProtection="1">
      <protection hidden="1"/>
    </xf>
    <xf numFmtId="0" fontId="0" fillId="28" borderId="0" xfId="0" applyFill="1" applyProtection="1">
      <protection hidden="1"/>
    </xf>
    <xf numFmtId="0" fontId="23" fillId="28" borderId="47" xfId="0" applyFont="1" applyFill="1" applyBorder="1" applyProtection="1">
      <protection hidden="1"/>
    </xf>
    <xf numFmtId="0" fontId="0" fillId="29" borderId="44" xfId="0" applyFill="1" applyBorder="1" applyProtection="1">
      <protection hidden="1"/>
    </xf>
    <xf numFmtId="2" fontId="0" fillId="28" borderId="0" xfId="0" applyNumberFormat="1" applyFill="1" applyProtection="1">
      <protection hidden="1"/>
    </xf>
    <xf numFmtId="0" fontId="0" fillId="28" borderId="49" xfId="0" applyFill="1" applyBorder="1" applyProtection="1">
      <protection hidden="1"/>
    </xf>
    <xf numFmtId="3" fontId="12" fillId="28" borderId="49" xfId="33" applyNumberFormat="1" applyFont="1" applyFill="1" applyBorder="1" applyAlignment="1" applyProtection="1">
      <alignment horizontal="center"/>
      <protection hidden="1"/>
    </xf>
    <xf numFmtId="172" fontId="21" fillId="28" borderId="0" xfId="0" applyNumberFormat="1" applyFont="1" applyFill="1" applyAlignment="1" applyProtection="1">
      <alignment horizontal="center"/>
      <protection locked="0"/>
    </xf>
    <xf numFmtId="177" fontId="0" fillId="28" borderId="0" xfId="0" applyNumberFormat="1" applyFill="1" applyAlignment="1" applyProtection="1">
      <alignment horizontal="center"/>
      <protection locked="0"/>
    </xf>
    <xf numFmtId="0" fontId="0" fillId="29" borderId="0" xfId="0" applyFill="1" applyProtection="1">
      <protection hidden="1"/>
    </xf>
    <xf numFmtId="49" fontId="12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" fontId="0" fillId="29" borderId="0" xfId="0" applyNumberFormat="1" applyFill="1" applyProtection="1">
      <protection hidden="1"/>
    </xf>
    <xf numFmtId="179" fontId="25" fillId="28" borderId="44" xfId="0" applyNumberFormat="1" applyFont="1" applyFill="1" applyBorder="1" applyAlignment="1">
      <alignment horizontal="center"/>
    </xf>
    <xf numFmtId="179" fontId="0" fillId="28" borderId="0" xfId="0" applyNumberFormat="1" applyFill="1" applyProtection="1">
      <protection hidden="1"/>
    </xf>
    <xf numFmtId="0" fontId="27" fillId="30" borderId="55" xfId="0" applyFont="1" applyFill="1" applyBorder="1"/>
    <xf numFmtId="0" fontId="27" fillId="30" borderId="58" xfId="0" applyFont="1" applyFill="1" applyBorder="1"/>
    <xf numFmtId="44" fontId="0" fillId="28" borderId="0" xfId="0" applyNumberFormat="1" applyFill="1" applyProtection="1">
      <protection hidden="1"/>
    </xf>
    <xf numFmtId="0" fontId="27" fillId="30" borderId="46" xfId="0" applyFont="1" applyFill="1" applyBorder="1"/>
    <xf numFmtId="0" fontId="27" fillId="30" borderId="44" xfId="0" applyFont="1" applyFill="1" applyBorder="1"/>
    <xf numFmtId="190" fontId="0" fillId="0" borderId="0" xfId="0" applyNumberFormat="1" applyProtection="1">
      <protection hidden="1"/>
    </xf>
    <xf numFmtId="190" fontId="21" fillId="0" borderId="0" xfId="0" applyNumberFormat="1" applyFont="1" applyProtection="1">
      <protection hidden="1"/>
    </xf>
    <xf numFmtId="0" fontId="0" fillId="0" borderId="0" xfId="0" applyAlignment="1">
      <alignment horizontal="center" vertical="center"/>
    </xf>
    <xf numFmtId="167" fontId="21" fillId="32" borderId="0" xfId="0" applyNumberFormat="1" applyFont="1" applyFill="1" applyAlignment="1" applyProtection="1">
      <alignment horizontal="center"/>
      <protection locked="0"/>
    </xf>
    <xf numFmtId="49" fontId="21" fillId="32" borderId="0" xfId="0" applyNumberFormat="1" applyFont="1" applyFill="1" applyAlignment="1" applyProtection="1">
      <alignment horizontal="center"/>
      <protection locked="0"/>
    </xf>
    <xf numFmtId="0" fontId="22" fillId="0" borderId="0" xfId="0" applyFont="1"/>
    <xf numFmtId="0" fontId="28" fillId="33" borderId="79" xfId="0" applyFont="1" applyFill="1" applyBorder="1" applyAlignment="1" applyProtection="1">
      <alignment horizontal="center"/>
      <protection locked="0"/>
    </xf>
    <xf numFmtId="180" fontId="35" fillId="33" borderId="43" xfId="33" applyNumberFormat="1" applyFont="1" applyFill="1" applyBorder="1" applyAlignment="1" applyProtection="1">
      <alignment horizontal="center" vertical="center"/>
      <protection locked="0"/>
    </xf>
    <xf numFmtId="180" fontId="35" fillId="33" borderId="37" xfId="33" applyNumberFormat="1" applyFont="1" applyFill="1" applyBorder="1" applyAlignment="1" applyProtection="1">
      <alignment horizontal="center" vertical="center"/>
      <protection locked="0"/>
    </xf>
    <xf numFmtId="0" fontId="28" fillId="33" borderId="43" xfId="0" applyFont="1" applyFill="1" applyBorder="1" applyAlignment="1" applyProtection="1">
      <alignment horizontal="center"/>
      <protection locked="0"/>
    </xf>
    <xf numFmtId="0" fontId="28" fillId="33" borderId="40" xfId="0" applyFont="1" applyFill="1" applyBorder="1" applyAlignment="1" applyProtection="1">
      <alignment horizontal="center"/>
      <protection locked="0"/>
    </xf>
    <xf numFmtId="180" fontId="35" fillId="33" borderId="40" xfId="33" applyNumberFormat="1" applyFont="1" applyFill="1" applyBorder="1" applyAlignment="1" applyProtection="1">
      <alignment horizontal="center" vertical="center"/>
      <protection locked="0"/>
    </xf>
    <xf numFmtId="0" fontId="28" fillId="33" borderId="38" xfId="0" applyFont="1" applyFill="1" applyBorder="1" applyAlignment="1" applyProtection="1">
      <alignment horizontal="center"/>
      <protection locked="0"/>
    </xf>
    <xf numFmtId="180" fontId="35" fillId="33" borderId="38" xfId="33" applyNumberFormat="1" applyFont="1" applyFill="1" applyBorder="1" applyAlignment="1" applyProtection="1">
      <alignment horizontal="center" vertical="center"/>
      <protection locked="0"/>
    </xf>
    <xf numFmtId="180" fontId="35" fillId="33" borderId="42" xfId="33" applyNumberFormat="1" applyFont="1" applyFill="1" applyBorder="1" applyAlignment="1" applyProtection="1">
      <alignment horizontal="center" vertical="center"/>
      <protection locked="0"/>
    </xf>
    <xf numFmtId="49" fontId="55" fillId="33" borderId="0" xfId="0" applyNumberFormat="1" applyFont="1" applyFill="1" applyAlignment="1" applyProtection="1">
      <alignment horizontal="center"/>
      <protection locked="0"/>
    </xf>
    <xf numFmtId="175" fontId="52" fillId="33" borderId="59" xfId="33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21" fillId="0" borderId="62" xfId="0" applyFont="1" applyBorder="1" applyAlignment="1" applyProtection="1">
      <alignment horizontal="center" textRotation="90"/>
      <protection hidden="1"/>
    </xf>
    <xf numFmtId="0" fontId="20" fillId="0" borderId="61" xfId="0" applyFont="1" applyBorder="1" applyAlignment="1" applyProtection="1">
      <alignment horizontal="center"/>
      <protection hidden="1"/>
    </xf>
    <xf numFmtId="0" fontId="12" fillId="0" borderId="60" xfId="0" applyFont="1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12" fillId="0" borderId="63" xfId="33" applyFont="1" applyFill="1" applyBorder="1" applyAlignment="1" applyProtection="1">
      <alignment horizontal="center"/>
      <protection hidden="1"/>
    </xf>
    <xf numFmtId="164" fontId="12" fillId="0" borderId="10" xfId="33" applyFont="1" applyFill="1" applyBorder="1" applyAlignment="1" applyProtection="1">
      <alignment horizontal="center"/>
      <protection hidden="1"/>
    </xf>
    <xf numFmtId="0" fontId="0" fillId="0" borderId="60" xfId="0" applyBorder="1" applyAlignment="1" applyProtection="1">
      <alignment horizontal="center"/>
      <protection hidden="1"/>
    </xf>
    <xf numFmtId="0" fontId="20" fillId="0" borderId="10" xfId="0" applyFont="1" applyBorder="1" applyAlignment="1" applyProtection="1">
      <alignment horizontal="center"/>
      <protection hidden="1"/>
    </xf>
    <xf numFmtId="0" fontId="12" fillId="0" borderId="64" xfId="0" applyFont="1" applyBorder="1" applyAlignment="1" applyProtection="1">
      <alignment horizontal="center" vertical="center"/>
      <protection hidden="1"/>
    </xf>
    <xf numFmtId="0" fontId="12" fillId="0" borderId="65" xfId="0" applyFont="1" applyBorder="1" applyAlignment="1" applyProtection="1">
      <alignment horizontal="center" vertical="center"/>
      <protection hidden="1"/>
    </xf>
    <xf numFmtId="0" fontId="12" fillId="0" borderId="6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186" fontId="0" fillId="0" borderId="45" xfId="0" applyNumberFormat="1" applyBorder="1" applyAlignment="1" applyProtection="1">
      <alignment horizontal="center"/>
      <protection hidden="1"/>
    </xf>
    <xf numFmtId="186" fontId="0" fillId="0" borderId="0" xfId="0" applyNumberFormat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176" fontId="0" fillId="0" borderId="64" xfId="36" applyFont="1" applyBorder="1" applyAlignment="1">
      <alignment horizontal="center" vertical="center" wrapText="1"/>
    </xf>
    <xf numFmtId="176" fontId="0" fillId="0" borderId="65" xfId="36" applyFont="1" applyBorder="1" applyAlignment="1">
      <alignment horizontal="center" vertical="center" wrapText="1"/>
    </xf>
    <xf numFmtId="176" fontId="0" fillId="0" borderId="66" xfId="36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 wrapText="1"/>
      <protection hidden="1"/>
    </xf>
    <xf numFmtId="0" fontId="0" fillId="0" borderId="66" xfId="0" applyBorder="1" applyAlignment="1" applyProtection="1">
      <alignment horizontal="center" vertical="center" wrapText="1"/>
      <protection hidden="1"/>
    </xf>
    <xf numFmtId="0" fontId="12" fillId="0" borderId="51" xfId="0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46" fillId="0" borderId="67" xfId="0" applyFont="1" applyBorder="1" applyAlignment="1" applyProtection="1">
      <alignment horizontal="center" vertical="center"/>
      <protection hidden="1"/>
    </xf>
    <xf numFmtId="0" fontId="56" fillId="0" borderId="68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0" fillId="0" borderId="0" xfId="0" applyFont="1" applyAlignment="1" applyProtection="1">
      <alignment horizontal="right"/>
      <protection hidden="1"/>
    </xf>
    <xf numFmtId="0" fontId="28" fillId="0" borderId="0" xfId="0" applyFont="1" applyAlignment="1" applyProtection="1">
      <alignment horizontal="center" textRotation="90"/>
      <protection hidden="1"/>
    </xf>
    <xf numFmtId="0" fontId="41" fillId="0" borderId="0" xfId="0" applyFont="1" applyAlignment="1" applyProtection="1">
      <alignment horizontal="center" textRotation="90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35" fillId="0" borderId="10" xfId="0" applyFont="1" applyBorder="1" applyAlignment="1" applyProtection="1">
      <alignment horizontal="center" vertical="center"/>
      <protection hidden="1"/>
    </xf>
    <xf numFmtId="184" fontId="39" fillId="0" borderId="0" xfId="33" applyNumberFormat="1" applyFont="1" applyFill="1" applyBorder="1" applyAlignment="1" applyProtection="1">
      <alignment horizontal="center" vertical="center" wrapText="1"/>
      <protection hidden="1"/>
    </xf>
    <xf numFmtId="172" fontId="46" fillId="0" borderId="67" xfId="0" applyNumberFormat="1" applyFont="1" applyBorder="1" applyAlignment="1" applyProtection="1">
      <alignment horizontal="center" vertical="center"/>
      <protection hidden="1"/>
    </xf>
    <xf numFmtId="0" fontId="12" fillId="33" borderId="36" xfId="0" applyFont="1" applyFill="1" applyBorder="1" applyAlignment="1" applyProtection="1">
      <alignment horizontal="center"/>
      <protection locked="0"/>
    </xf>
    <xf numFmtId="0" fontId="0" fillId="33" borderId="36" xfId="0" applyFill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textRotation="90"/>
      <protection hidden="1"/>
    </xf>
    <xf numFmtId="0" fontId="35" fillId="0" borderId="0" xfId="0" applyFont="1" applyAlignment="1" applyProtection="1">
      <alignment horizontal="center"/>
      <protection hidden="1"/>
    </xf>
    <xf numFmtId="167" fontId="55" fillId="33" borderId="36" xfId="0" applyNumberFormat="1" applyFont="1" applyFill="1" applyBorder="1" applyAlignment="1" applyProtection="1">
      <alignment horizontal="center"/>
      <protection locked="0"/>
    </xf>
    <xf numFmtId="49" fontId="55" fillId="33" borderId="36" xfId="0" applyNumberFormat="1" applyFont="1" applyFill="1" applyBorder="1" applyAlignment="1" applyProtection="1">
      <alignment horizontal="center"/>
      <protection locked="0"/>
    </xf>
    <xf numFmtId="0" fontId="37" fillId="0" borderId="10" xfId="0" applyFont="1" applyBorder="1" applyAlignment="1" applyProtection="1">
      <alignment horizontal="center" vertical="center"/>
      <protection hidden="1"/>
    </xf>
    <xf numFmtId="0" fontId="48" fillId="0" borderId="69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66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172" fontId="20" fillId="31" borderId="73" xfId="0" applyNumberFormat="1" applyFont="1" applyFill="1" applyBorder="1" applyAlignment="1">
      <alignment horizontal="center" vertical="center"/>
    </xf>
    <xf numFmtId="172" fontId="20" fillId="31" borderId="74" xfId="0" applyNumberFormat="1" applyFont="1" applyFill="1" applyBorder="1" applyAlignment="1">
      <alignment horizontal="center" vertical="center"/>
    </xf>
    <xf numFmtId="172" fontId="20" fillId="31" borderId="75" xfId="0" applyNumberFormat="1" applyFont="1" applyFill="1" applyBorder="1" applyAlignment="1">
      <alignment horizontal="center" vertical="center"/>
    </xf>
    <xf numFmtId="172" fontId="20" fillId="31" borderId="76" xfId="0" applyNumberFormat="1" applyFont="1" applyFill="1" applyBorder="1" applyAlignment="1">
      <alignment horizontal="center" vertical="center"/>
    </xf>
    <xf numFmtId="172" fontId="20" fillId="31" borderId="77" xfId="0" applyNumberFormat="1" applyFont="1" applyFill="1" applyBorder="1" applyAlignment="1">
      <alignment horizontal="center" vertical="center"/>
    </xf>
    <xf numFmtId="172" fontId="20" fillId="31" borderId="78" xfId="0" applyNumberFormat="1" applyFont="1" applyFill="1" applyBorder="1" applyAlignment="1">
      <alignment horizontal="center" vertical="center"/>
    </xf>
    <xf numFmtId="0" fontId="48" fillId="27" borderId="67" xfId="0" applyFont="1" applyFill="1" applyBorder="1" applyAlignment="1">
      <alignment horizontal="center" vertical="center" wrapText="1"/>
    </xf>
    <xf numFmtId="176" fontId="20" fillId="7" borderId="61" xfId="36" applyFont="1" applyFill="1" applyBorder="1" applyAlignment="1" applyProtection="1">
      <alignment horizontal="center" vertical="center"/>
    </xf>
    <xf numFmtId="0" fontId="48" fillId="0" borderId="12" xfId="0" applyFont="1" applyBorder="1" applyAlignment="1">
      <alignment horizontal="center" vertical="center"/>
    </xf>
    <xf numFmtId="10" fontId="21" fillId="0" borderId="61" xfId="0" applyNumberFormat="1" applyFont="1" applyBorder="1" applyAlignment="1">
      <alignment horizontal="center" vertical="center" wrapText="1"/>
    </xf>
    <xf numFmtId="176" fontId="20" fillId="7" borderId="21" xfId="36" applyFont="1" applyFill="1" applyBorder="1" applyAlignment="1" applyProtection="1">
      <alignment horizontal="center" vertic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 1" xfId="19" xr:uid="{80E074E6-EE4E-4D11-A9B7-69446BB2C1BE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34" xr:uid="{131B275C-453F-4937-8A5E-A18247B08104}"/>
    <cellStyle name="Millares 3" xfId="35" xr:uid="{DE83770C-37D8-4E20-A43E-A1AB1C8B1366}"/>
    <cellStyle name="Moneda" xfId="36" builtinId="4"/>
    <cellStyle name="Neutro" xfId="37" xr:uid="{0451E21F-5F0A-441D-8116-E1CD0C971792}"/>
    <cellStyle name="Normal" xfId="0" builtinId="0"/>
    <cellStyle name="Normal 2" xfId="38" xr:uid="{0206CB92-4D13-4449-AA3D-49859CB73F31}"/>
    <cellStyle name="Notas" xfId="39" builtinId="10" customBuiltin="1"/>
    <cellStyle name="Porcentaje" xfId="40" builtinId="5"/>
    <cellStyle name="Porcentual 2" xfId="41" xr:uid="{5281410E-A3D0-4750-9BB6-ED14B54F606F}"/>
    <cellStyle name="Porcentual 3" xfId="42" xr:uid="{83B55543-FBE6-4EB4-A430-2B9C3D479ED1}"/>
    <cellStyle name="Salida" xfId="43" builtinId="21" customBuiltin="1"/>
    <cellStyle name="Texto de advertencia" xfId="44" builtinId="11" customBuiltin="1"/>
    <cellStyle name="Texto explicativo" xfId="45" builtinId="53" customBuiltin="1"/>
    <cellStyle name="Título 2 1" xfId="46" xr:uid="{34DA2E0A-415E-4B47-B656-F59A632CA00C}"/>
    <cellStyle name="Título 3" xfId="47" builtinId="18" customBuiltin="1"/>
    <cellStyle name="Título 4" xfId="48" xr:uid="{BF251938-5F78-4CFD-B627-E8400DAFEDB4}"/>
    <cellStyle name="Total" xfId="49" builtinId="25" customBuiltin="1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0"/>
      </font>
      <fill>
        <patternFill patternType="solid">
          <fgColor indexed="10"/>
          <bgColor indexed="16"/>
        </patternFill>
      </fill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0"/>
      </font>
      <fill>
        <patternFill patternType="solid">
          <fgColor indexed="10"/>
          <bgColor indexed="16"/>
        </patternFill>
      </fill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672704</xdr:colOff>
      <xdr:row>0</xdr:row>
      <xdr:rowOff>0</xdr:rowOff>
    </xdr:from>
    <xdr:to>
      <xdr:col>10</xdr:col>
      <xdr:colOff>459582</xdr:colOff>
      <xdr:row>7</xdr:row>
      <xdr:rowOff>142478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3BF22E-31D1-425A-9C23-E7121825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35" y="0"/>
          <a:ext cx="2019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ownloads/Eloy/RECIB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ownloads/Documents%20and%20Settings/achappa/Configuraci&#243;n%20local/Archivos%20temporales%20de%20Internet/Content.IE5/RZ6WSGM5/TO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disco_D\3-%20Backup%20maquina%20Ana\Planilla%20Anexas%20Sistema%20Visado%20Web\Mayo%202024\propiedad_horizon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pa"/>
      <sheetName val="ELOY"/>
      <sheetName val="ELOY (2)"/>
      <sheetName val="DANIEL"/>
      <sheetName val="Daniel-Eloy"/>
      <sheetName val="PERALTA-FERNANDO"/>
      <sheetName val="#¡REF"/>
      <sheetName val="material"/>
      <sheetName val="EAg"/>
      <sheetName val="RECIB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I -Res.1082"/>
      <sheetName val="Tablas"/>
      <sheetName val="x"/>
      <sheetName val="$xha"/>
      <sheetName val="TABLA VI "/>
      <sheetName val="PD 1"/>
      <sheetName val="PD 2"/>
      <sheetName val="CeI"/>
      <sheetName val="Dem"/>
      <sheetName val="RT"/>
      <sheetName val="Est Licit"/>
      <sheetName val="Tas"/>
      <sheetName val="MeIT"/>
      <sheetName val="Art29"/>
      <sheetName val="AseAgr"/>
      <sheetName val="AseAlim."/>
      <sheetName val="EAg"/>
      <sheetName val="Agroq"/>
      <sheetName val="EIA"/>
      <sheetName val="EISat"/>
      <sheetName val="PH"/>
      <sheetName val="Mens"/>
      <sheetName val="PARCELARIOS"/>
      <sheetName val="Hig y Seg."/>
      <sheetName val="Cerprosa"/>
      <sheetName val="ASP1"/>
      <sheetName val="ASP2"/>
      <sheetName val="Instal Electro "/>
      <sheetName val="Efl. Gas."/>
      <sheetName val="RTAsc"/>
      <sheetName val="OTROSHONO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xha"/>
      <sheetName val="Tablas"/>
      <sheetName val="Abril 2021"/>
      <sheetName val="Octubre 2021"/>
      <sheetName val="Abril 2022"/>
      <sheetName val="TABLA VI "/>
      <sheetName val="Hoja1"/>
      <sheetName val="Octubre 2022"/>
      <sheetName val="Abril 2023"/>
      <sheetName val="Octubre 2023"/>
      <sheetName val="Abril 2024"/>
      <sheetName val="Mayo 2024"/>
      <sheetName val="Octubre 2024"/>
      <sheetName val="TASA DE VI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6C21-0EB2-4030-815D-1E826764ECDA}">
  <sheetPr codeName="Hoja2">
    <tabColor indexed="47"/>
  </sheetPr>
  <dimension ref="B1:AA128"/>
  <sheetViews>
    <sheetView showGridLines="0" topLeftCell="A100" zoomScale="75" zoomScaleNormal="75" workbookViewId="0">
      <selection activeCell="I23" sqref="I23"/>
    </sheetView>
  </sheetViews>
  <sheetFormatPr baseColWidth="10" defaultColWidth="9.140625" defaultRowHeight="12.75" x14ac:dyDescent="0.2"/>
  <cols>
    <col min="1" max="1" width="5.28515625" style="1" customWidth="1"/>
    <col min="2" max="4" width="12.7109375" style="1" customWidth="1"/>
    <col min="5" max="5" width="13" style="1" customWidth="1"/>
    <col min="6" max="35" width="12.7109375" style="1" customWidth="1"/>
    <col min="36" max="16384" width="9.140625" style="1"/>
  </cols>
  <sheetData>
    <row r="1" spans="2:13" ht="14.25" x14ac:dyDescent="0.2">
      <c r="B1" s="2"/>
      <c r="C1" s="2"/>
    </row>
    <row r="2" spans="2:13" ht="15.75" x14ac:dyDescent="0.25">
      <c r="B2" s="265" t="s">
        <v>0</v>
      </c>
      <c r="C2" s="265"/>
      <c r="D2" s="265"/>
      <c r="E2" s="3">
        <f>x!C8</f>
        <v>66.000500000000002</v>
      </c>
      <c r="G2" s="4"/>
    </row>
    <row r="3" spans="2:13" ht="15.75" x14ac:dyDescent="0.25">
      <c r="C3" s="5"/>
    </row>
    <row r="4" spans="2:13" ht="15.75" x14ac:dyDescent="0.25">
      <c r="B4" s="259" t="s">
        <v>1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</row>
    <row r="5" spans="2:13" x14ac:dyDescent="0.2">
      <c r="B5" s="264" t="s">
        <v>2</v>
      </c>
      <c r="C5" s="264"/>
      <c r="D5" s="264" t="s">
        <v>3</v>
      </c>
      <c r="E5" s="264"/>
      <c r="F5" s="264" t="s">
        <v>4</v>
      </c>
      <c r="G5" s="264"/>
      <c r="H5" s="264" t="s">
        <v>5</v>
      </c>
      <c r="I5" s="264"/>
      <c r="J5" s="264" t="s">
        <v>6</v>
      </c>
      <c r="K5" s="264"/>
      <c r="L5" s="264" t="s">
        <v>7</v>
      </c>
      <c r="M5" s="264"/>
    </row>
    <row r="6" spans="2:13" x14ac:dyDescent="0.2">
      <c r="B6" s="6" t="s">
        <v>8</v>
      </c>
      <c r="C6" s="7" t="s">
        <v>9</v>
      </c>
      <c r="D6" s="6" t="s">
        <v>10</v>
      </c>
      <c r="E6" s="7" t="s">
        <v>9</v>
      </c>
      <c r="F6" s="6" t="s">
        <v>10</v>
      </c>
      <c r="G6" s="7" t="s">
        <v>9</v>
      </c>
      <c r="H6" s="6" t="s">
        <v>10</v>
      </c>
      <c r="I6" s="7" t="s">
        <v>9</v>
      </c>
      <c r="J6" s="6" t="s">
        <v>10</v>
      </c>
      <c r="K6" s="7" t="s">
        <v>9</v>
      </c>
      <c r="L6" s="6" t="s">
        <v>10</v>
      </c>
      <c r="M6" s="7" t="s">
        <v>9</v>
      </c>
    </row>
    <row r="7" spans="2:13" x14ac:dyDescent="0.2">
      <c r="B7" s="8">
        <f>1000000*E2</f>
        <v>66000500</v>
      </c>
      <c r="C7" s="9">
        <f>+B7</f>
        <v>66000500</v>
      </c>
      <c r="D7" s="10">
        <v>0.04</v>
      </c>
      <c r="E7" s="9">
        <f>+$B$7*D7</f>
        <v>2640020</v>
      </c>
      <c r="F7" s="10">
        <v>6.5000000000000002E-2</v>
      </c>
      <c r="G7" s="9">
        <f>+$B$7*F7</f>
        <v>4290032.5</v>
      </c>
      <c r="H7" s="10">
        <v>7.4999999999999997E-2</v>
      </c>
      <c r="I7" s="9">
        <f>+$B$7*H7</f>
        <v>4950037.5</v>
      </c>
      <c r="J7" s="10">
        <v>0.08</v>
      </c>
      <c r="K7" s="9">
        <f>+$B$7*J7</f>
        <v>5280040</v>
      </c>
      <c r="L7" s="10">
        <v>8.5000000000000006E-2</v>
      </c>
      <c r="M7" s="9">
        <f>+$B$7*L7</f>
        <v>5610042.5</v>
      </c>
    </row>
    <row r="8" spans="2:13" x14ac:dyDescent="0.2">
      <c r="B8" s="8">
        <f>4000000*E2</f>
        <v>264002000</v>
      </c>
      <c r="C8" s="9">
        <f>+C7+B8</f>
        <v>330002500</v>
      </c>
      <c r="D8" s="10">
        <f>+D7-0.005</f>
        <v>3.5000000000000003E-2</v>
      </c>
      <c r="E8" s="9">
        <f>+($C8-$C7)*D8+E7</f>
        <v>11880090</v>
      </c>
      <c r="F8" s="10">
        <f>+F7-0.005</f>
        <v>6.0000000000000005E-2</v>
      </c>
      <c r="G8" s="9">
        <f>+($C8-$C7)*F8+G7</f>
        <v>20130152.5</v>
      </c>
      <c r="H8" s="10">
        <f>+H7-0.005</f>
        <v>6.9999999999999993E-2</v>
      </c>
      <c r="I8" s="9">
        <f>+($C8-$C7)*H8+I7</f>
        <v>23430177.499999996</v>
      </c>
      <c r="J8" s="10">
        <f>+J7-0.005</f>
        <v>7.4999999999999997E-2</v>
      </c>
      <c r="K8" s="9">
        <f>+($C8-$C7)*J8+K7</f>
        <v>25080190</v>
      </c>
      <c r="L8" s="10">
        <f>+L7-0.005</f>
        <v>0.08</v>
      </c>
      <c r="M8" s="9">
        <f>+($C8-$C7)*L8+M7</f>
        <v>26730202.5</v>
      </c>
    </row>
    <row r="9" spans="2:13" x14ac:dyDescent="0.2">
      <c r="B9" s="8">
        <f>5000000*E2</f>
        <v>330002500</v>
      </c>
      <c r="C9" s="9">
        <f>+C8+B9</f>
        <v>660005000</v>
      </c>
      <c r="D9" s="10">
        <f>+D8-0.005</f>
        <v>3.0000000000000002E-2</v>
      </c>
      <c r="E9" s="9">
        <f>+($C9-$C8)*D9+E8</f>
        <v>21780165</v>
      </c>
      <c r="F9" s="10">
        <f>+F8-0.005</f>
        <v>5.5000000000000007E-2</v>
      </c>
      <c r="G9" s="9">
        <f>+($C9-$C8)*F9+G8</f>
        <v>38280290</v>
      </c>
      <c r="H9" s="10">
        <f>+H8-0.005</f>
        <v>6.4999999999999988E-2</v>
      </c>
      <c r="I9" s="9">
        <f>+($C9-$C8)*H9+I8</f>
        <v>44880339.999999993</v>
      </c>
      <c r="J9" s="10">
        <f>+J8-0.005</f>
        <v>6.9999999999999993E-2</v>
      </c>
      <c r="K9" s="9">
        <f>+($C9-$C8)*J9+K8</f>
        <v>48180365</v>
      </c>
      <c r="L9" s="10">
        <f>+L8-0.005</f>
        <v>7.4999999999999997E-2</v>
      </c>
      <c r="M9" s="9">
        <f>+($C9-$C8)*L9+M8</f>
        <v>51480390</v>
      </c>
    </row>
    <row r="10" spans="2:13" x14ac:dyDescent="0.2">
      <c r="B10" s="8">
        <f>20000000*E2</f>
        <v>1320010000</v>
      </c>
      <c r="C10" s="9">
        <f>+C9+B10</f>
        <v>1980015000</v>
      </c>
      <c r="D10" s="10">
        <f>+D9-0.005</f>
        <v>2.5000000000000001E-2</v>
      </c>
      <c r="E10" s="9">
        <f>+($C10-$C9)*D10+E9</f>
        <v>54780415</v>
      </c>
      <c r="F10" s="10">
        <f>+F9-0.005</f>
        <v>5.000000000000001E-2</v>
      </c>
      <c r="G10" s="9">
        <f>+($C10-$C9)*F10+G9</f>
        <v>104280790.00000001</v>
      </c>
      <c r="H10" s="10">
        <f>+H9-0.005</f>
        <v>5.9999999999999991E-2</v>
      </c>
      <c r="I10" s="9">
        <f>+($C10-$C9)*H10+I9</f>
        <v>124080939.99999997</v>
      </c>
      <c r="J10" s="10">
        <f>+J9-0.005</f>
        <v>6.4999999999999988E-2</v>
      </c>
      <c r="K10" s="9">
        <f>+($C10-$C9)*J10+K9</f>
        <v>133981014.99999999</v>
      </c>
      <c r="L10" s="10">
        <f>+L9-0.005</f>
        <v>6.9999999999999993E-2</v>
      </c>
      <c r="M10" s="9">
        <f>+($C10-$C9)*L10+M9</f>
        <v>143881090</v>
      </c>
    </row>
    <row r="11" spans="2:13" x14ac:dyDescent="0.2">
      <c r="B11" s="8">
        <f>70000000*E2</f>
        <v>4620035000</v>
      </c>
      <c r="C11" s="9">
        <f>+C10+B11</f>
        <v>6600050000</v>
      </c>
      <c r="D11" s="10">
        <f>+D10-0.005</f>
        <v>0.02</v>
      </c>
      <c r="E11" s="9">
        <f>+($C11-$C10)*D11+E10</f>
        <v>147181115</v>
      </c>
      <c r="F11" s="10">
        <f>+F10-0.005</f>
        <v>4.5000000000000012E-2</v>
      </c>
      <c r="G11" s="9">
        <f>+($C11-$C10)*F11+G10</f>
        <v>312182365.00000006</v>
      </c>
      <c r="H11" s="10">
        <f>+H10-0.005</f>
        <v>5.4999999999999993E-2</v>
      </c>
      <c r="I11" s="9">
        <f>+($C11-$C10)*H11+I10</f>
        <v>378182864.99999994</v>
      </c>
      <c r="J11" s="10">
        <f>+J10-0.005</f>
        <v>5.9999999999999991E-2</v>
      </c>
      <c r="K11" s="9">
        <f>+($C11-$C10)*J11+K10</f>
        <v>411183114.99999994</v>
      </c>
      <c r="L11" s="10">
        <f>+L10-0.005</f>
        <v>6.4999999999999988E-2</v>
      </c>
      <c r="M11" s="9">
        <f>+($C11-$C10)*L11+M10</f>
        <v>444183364.99999994</v>
      </c>
    </row>
    <row r="12" spans="2:13" x14ac:dyDescent="0.2">
      <c r="B12" s="11"/>
      <c r="C12" s="12" t="s">
        <v>11</v>
      </c>
      <c r="D12" s="13">
        <f>+D11-0.005</f>
        <v>1.4999999999999999E-2</v>
      </c>
      <c r="E12" s="14"/>
      <c r="F12" s="13">
        <f>+F11-0.005</f>
        <v>4.0000000000000015E-2</v>
      </c>
      <c r="G12" s="14"/>
      <c r="H12" s="13">
        <f>+H11-0.005</f>
        <v>4.9999999999999996E-2</v>
      </c>
      <c r="I12" s="14"/>
      <c r="J12" s="13">
        <f>+J11-0.005</f>
        <v>5.4999999999999993E-2</v>
      </c>
      <c r="K12" s="14"/>
      <c r="L12" s="13">
        <f>+L11-0.005</f>
        <v>5.9999999999999991E-2</v>
      </c>
      <c r="M12" s="14"/>
    </row>
    <row r="13" spans="2:13" ht="7.5" customHeight="1" x14ac:dyDescent="0.2"/>
    <row r="14" spans="2:13" x14ac:dyDescent="0.2">
      <c r="B14" s="264" t="s">
        <v>2</v>
      </c>
      <c r="C14" s="264"/>
      <c r="D14" s="264" t="s">
        <v>12</v>
      </c>
      <c r="E14" s="264"/>
      <c r="F14" s="264" t="s">
        <v>13</v>
      </c>
      <c r="G14" s="264"/>
      <c r="H14" s="264" t="s">
        <v>14</v>
      </c>
      <c r="I14" s="264"/>
      <c r="J14" s="264" t="s">
        <v>15</v>
      </c>
      <c r="K14" s="264"/>
      <c r="L14" s="264" t="s">
        <v>16</v>
      </c>
      <c r="M14" s="264"/>
    </row>
    <row r="15" spans="2:13" x14ac:dyDescent="0.2">
      <c r="B15" s="6" t="s">
        <v>8</v>
      </c>
      <c r="C15" s="7" t="s">
        <v>9</v>
      </c>
      <c r="D15" s="6" t="s">
        <v>10</v>
      </c>
      <c r="E15" s="7" t="s">
        <v>9</v>
      </c>
      <c r="F15" s="6" t="s">
        <v>10</v>
      </c>
      <c r="G15" s="7" t="s">
        <v>9</v>
      </c>
      <c r="H15" s="6" t="s">
        <v>10</v>
      </c>
      <c r="I15" s="7" t="s">
        <v>9</v>
      </c>
      <c r="J15" s="6" t="s">
        <v>10</v>
      </c>
      <c r="K15" s="7" t="s">
        <v>9</v>
      </c>
      <c r="L15" s="6" t="s">
        <v>10</v>
      </c>
      <c r="M15" s="7" t="s">
        <v>9</v>
      </c>
    </row>
    <row r="16" spans="2:13" x14ac:dyDescent="0.2">
      <c r="B16" s="8">
        <f>1000000*E2</f>
        <v>66000500</v>
      </c>
      <c r="C16" s="9">
        <f>+B16</f>
        <v>66000500</v>
      </c>
      <c r="D16" s="10">
        <v>0.05</v>
      </c>
      <c r="E16" s="9">
        <f>+$B$7*D16</f>
        <v>3300025</v>
      </c>
      <c r="F16" s="10">
        <v>0.06</v>
      </c>
      <c r="G16" s="9">
        <f>+$B$7*F16</f>
        <v>3960030</v>
      </c>
      <c r="H16" s="10">
        <v>7.0000000000000007E-2</v>
      </c>
      <c r="I16" s="9">
        <f>+$B$7*H16</f>
        <v>4620035</v>
      </c>
      <c r="J16" s="10">
        <v>0.1</v>
      </c>
      <c r="K16" s="9">
        <f>+$B$7*J16</f>
        <v>6600050</v>
      </c>
      <c r="L16" s="10">
        <v>0.15</v>
      </c>
      <c r="M16" s="9">
        <f>+$B$7*L16</f>
        <v>9900075</v>
      </c>
    </row>
    <row r="17" spans="2:13" x14ac:dyDescent="0.2">
      <c r="B17" s="8">
        <f>4000000*E2</f>
        <v>264002000</v>
      </c>
      <c r="C17" s="9">
        <f>+C16+B17</f>
        <v>330002500</v>
      </c>
      <c r="D17" s="10">
        <f>+D16-0.005</f>
        <v>4.5000000000000005E-2</v>
      </c>
      <c r="E17" s="9">
        <f>+($C17-$C16)*D17+E16</f>
        <v>15180115.000000002</v>
      </c>
      <c r="F17" s="10">
        <f>+F16-0.005</f>
        <v>5.5E-2</v>
      </c>
      <c r="G17" s="9">
        <f>+($C17-$C16)*F17+G16</f>
        <v>18480140</v>
      </c>
      <c r="H17" s="10">
        <f>+H16-0.005</f>
        <v>6.5000000000000002E-2</v>
      </c>
      <c r="I17" s="9">
        <f>+($C17-$C16)*H17+I16</f>
        <v>21780165</v>
      </c>
      <c r="J17" s="10">
        <f>+J16-0.005</f>
        <v>9.5000000000000001E-2</v>
      </c>
      <c r="K17" s="9">
        <f>+($C17-$C16)*J17+K16</f>
        <v>31680240</v>
      </c>
      <c r="L17" s="10">
        <f>+L16-0.01</f>
        <v>0.13999999999999999</v>
      </c>
      <c r="M17" s="9">
        <f>+($C17-$C16)*L17+M16</f>
        <v>46860354.999999993</v>
      </c>
    </row>
    <row r="18" spans="2:13" x14ac:dyDescent="0.2">
      <c r="B18" s="8">
        <f>5000000*E2</f>
        <v>330002500</v>
      </c>
      <c r="C18" s="9">
        <f>+C17+B18</f>
        <v>660005000</v>
      </c>
      <c r="D18" s="10">
        <f>+D17-0.005</f>
        <v>4.0000000000000008E-2</v>
      </c>
      <c r="E18" s="9">
        <f>+($C18-$C17)*D18+E17</f>
        <v>28380215.000000004</v>
      </c>
      <c r="F18" s="10">
        <f>+F17-0.005</f>
        <v>0.05</v>
      </c>
      <c r="G18" s="9">
        <f>+($C18-$C17)*F18+G17</f>
        <v>34980265</v>
      </c>
      <c r="H18" s="10">
        <f>+H17-0.005</f>
        <v>6.0000000000000005E-2</v>
      </c>
      <c r="I18" s="9">
        <f>+($C18-$C17)*H18+I17</f>
        <v>41580315</v>
      </c>
      <c r="J18" s="10">
        <f>+J17-0.005</f>
        <v>0.09</v>
      </c>
      <c r="K18" s="9">
        <f>+($C18-$C17)*J18+K17</f>
        <v>61380465</v>
      </c>
      <c r="L18" s="10">
        <f>+L17-0.01</f>
        <v>0.12999999999999998</v>
      </c>
      <c r="M18" s="9">
        <f>+($C18-$C17)*L18+M17</f>
        <v>89760679.999999985</v>
      </c>
    </row>
    <row r="19" spans="2:13" x14ac:dyDescent="0.2">
      <c r="B19" s="8">
        <f>20000000*E2</f>
        <v>1320010000</v>
      </c>
      <c r="C19" s="9">
        <f>+C18+B19</f>
        <v>1980015000</v>
      </c>
      <c r="D19" s="15">
        <v>3.7499999999999999E-2</v>
      </c>
      <c r="E19" s="9">
        <f>+($C19-$C18)*D19+E18</f>
        <v>77880590</v>
      </c>
      <c r="F19" s="10">
        <f>+F18-0.005</f>
        <v>4.5000000000000005E-2</v>
      </c>
      <c r="G19" s="9">
        <f>+($C19-$C18)*F19+G18</f>
        <v>94380715</v>
      </c>
      <c r="H19" s="10">
        <f>+H18-0.005</f>
        <v>5.5000000000000007E-2</v>
      </c>
      <c r="I19" s="9">
        <f>+($C19-$C18)*H19+I18</f>
        <v>114180865.00000001</v>
      </c>
      <c r="J19" s="10">
        <f>+J18-0.005</f>
        <v>8.4999999999999992E-2</v>
      </c>
      <c r="K19" s="9">
        <f>+($C19-$C18)*J19+K18</f>
        <v>173581315</v>
      </c>
      <c r="L19" s="10">
        <f>+L18-0.01</f>
        <v>0.11999999999999998</v>
      </c>
      <c r="M19" s="9">
        <f>+($C19-$C18)*L19+M18</f>
        <v>248161879.99999994</v>
      </c>
    </row>
    <row r="20" spans="2:13" x14ac:dyDescent="0.2">
      <c r="B20" s="8">
        <f>70000000*E2</f>
        <v>4620035000</v>
      </c>
      <c r="C20" s="9">
        <f>+C19+B20</f>
        <v>6600050000</v>
      </c>
      <c r="D20" s="10">
        <v>3.5000000000000003E-2</v>
      </c>
      <c r="E20" s="9">
        <f>+($C20-$C19)*D20+E19</f>
        <v>239581815.00000003</v>
      </c>
      <c r="F20" s="10">
        <f>+F19-0.005</f>
        <v>4.0000000000000008E-2</v>
      </c>
      <c r="G20" s="9">
        <f>+($C20-$C19)*F20+G19</f>
        <v>279182115</v>
      </c>
      <c r="H20" s="10">
        <f>+H19-0.005</f>
        <v>5.000000000000001E-2</v>
      </c>
      <c r="I20" s="9">
        <f>+($C20-$C19)*H20+I19</f>
        <v>345182615.00000006</v>
      </c>
      <c r="J20" s="10">
        <f>+J19-0.005</f>
        <v>7.9999999999999988E-2</v>
      </c>
      <c r="K20" s="9">
        <f>+($C20-$C19)*J20+K19</f>
        <v>543184115</v>
      </c>
      <c r="L20" s="10">
        <f>+L19-0.01</f>
        <v>0.10999999999999999</v>
      </c>
      <c r="M20" s="9">
        <f>+($C20-$C19)*L20+M19</f>
        <v>756365729.99999988</v>
      </c>
    </row>
    <row r="21" spans="2:13" x14ac:dyDescent="0.2">
      <c r="B21" s="11"/>
      <c r="C21" s="12" t="s">
        <v>11</v>
      </c>
      <c r="D21" s="16">
        <v>3.2500000000000001E-2</v>
      </c>
      <c r="E21" s="14"/>
      <c r="F21" s="13">
        <f>+F20-0.005</f>
        <v>3.500000000000001E-2</v>
      </c>
      <c r="G21" s="14"/>
      <c r="H21" s="13">
        <f>+H20-0.005</f>
        <v>4.5000000000000012E-2</v>
      </c>
      <c r="I21" s="14"/>
      <c r="J21" s="13">
        <f>+J20-0.005</f>
        <v>7.4999999999999983E-2</v>
      </c>
      <c r="K21" s="14"/>
      <c r="L21" s="13">
        <f>+L20-0.01</f>
        <v>9.9999999999999992E-2</v>
      </c>
      <c r="M21" s="14"/>
    </row>
    <row r="22" spans="2:13" x14ac:dyDescent="0.2">
      <c r="C22" s="17"/>
      <c r="D22" s="18"/>
      <c r="F22" s="19"/>
      <c r="H22" s="19"/>
      <c r="J22" s="19"/>
      <c r="L22" s="19"/>
    </row>
    <row r="24" spans="2:13" ht="15.75" x14ac:dyDescent="0.25">
      <c r="B24" s="259" t="s">
        <v>17</v>
      </c>
      <c r="C24" s="259"/>
      <c r="D24" s="259"/>
      <c r="E24" s="259"/>
    </row>
    <row r="25" spans="2:13" x14ac:dyDescent="0.2">
      <c r="B25" s="261" t="s">
        <v>2</v>
      </c>
      <c r="C25" s="261"/>
      <c r="D25" s="264" t="s">
        <v>18</v>
      </c>
      <c r="E25" s="264"/>
    </row>
    <row r="26" spans="2:13" x14ac:dyDescent="0.2">
      <c r="B26" s="20" t="s">
        <v>8</v>
      </c>
      <c r="C26" s="21" t="s">
        <v>9</v>
      </c>
      <c r="D26" s="22" t="s">
        <v>10</v>
      </c>
      <c r="E26" s="23" t="s">
        <v>9</v>
      </c>
    </row>
    <row r="27" spans="2:13" x14ac:dyDescent="0.2">
      <c r="B27" s="8">
        <f>1000000*E2</f>
        <v>66000500</v>
      </c>
      <c r="C27" s="9">
        <f>+B27</f>
        <v>66000500</v>
      </c>
      <c r="D27" s="10">
        <v>0.05</v>
      </c>
      <c r="E27" s="9">
        <f>+D27*B27</f>
        <v>3300025</v>
      </c>
    </row>
    <row r="28" spans="2:13" x14ac:dyDescent="0.2">
      <c r="B28" s="8">
        <f>4000000*E2</f>
        <v>264002000</v>
      </c>
      <c r="C28" s="9">
        <f t="shared" ref="C28:C33" si="0">+C27+B28</f>
        <v>330002500</v>
      </c>
      <c r="D28" s="10">
        <v>0.04</v>
      </c>
      <c r="E28" s="9">
        <f t="shared" ref="E28:E33" si="1">+(C28-C27)*D28+E27</f>
        <v>13860105</v>
      </c>
    </row>
    <row r="29" spans="2:13" x14ac:dyDescent="0.2">
      <c r="B29" s="8">
        <f>5000000*E2</f>
        <v>330002500</v>
      </c>
      <c r="C29" s="9">
        <f t="shared" si="0"/>
        <v>660005000</v>
      </c>
      <c r="D29" s="10">
        <v>0.03</v>
      </c>
      <c r="E29" s="9">
        <f t="shared" si="1"/>
        <v>23760180</v>
      </c>
    </row>
    <row r="30" spans="2:13" x14ac:dyDescent="0.2">
      <c r="B30" s="8">
        <f>10000000*E2</f>
        <v>660005000</v>
      </c>
      <c r="C30" s="9">
        <f t="shared" si="0"/>
        <v>1320010000</v>
      </c>
      <c r="D30" s="10">
        <v>2.5000000000000001E-2</v>
      </c>
      <c r="E30" s="9">
        <f t="shared" si="1"/>
        <v>40260305</v>
      </c>
    </row>
    <row r="31" spans="2:13" x14ac:dyDescent="0.2">
      <c r="B31" s="8">
        <f>20000000*E2</f>
        <v>1320010000</v>
      </c>
      <c r="C31" s="9">
        <f t="shared" si="0"/>
        <v>2640020000</v>
      </c>
      <c r="D31" s="10">
        <v>0.02</v>
      </c>
      <c r="E31" s="9">
        <f t="shared" si="1"/>
        <v>66660505</v>
      </c>
    </row>
    <row r="32" spans="2:13" x14ac:dyDescent="0.2">
      <c r="B32" s="8">
        <f>40000000*E2</f>
        <v>2640020000</v>
      </c>
      <c r="C32" s="9">
        <f t="shared" si="0"/>
        <v>5280040000</v>
      </c>
      <c r="D32" s="10">
        <v>1.4999999999999999E-2</v>
      </c>
      <c r="E32" s="9">
        <f t="shared" si="1"/>
        <v>106260805</v>
      </c>
    </row>
    <row r="33" spans="2:7" x14ac:dyDescent="0.2">
      <c r="B33" s="8">
        <f>80000000*E2</f>
        <v>5280040000</v>
      </c>
      <c r="C33" s="9">
        <f t="shared" si="0"/>
        <v>10560080000</v>
      </c>
      <c r="D33" s="10">
        <v>0.01</v>
      </c>
      <c r="E33" s="9">
        <f t="shared" si="1"/>
        <v>159061205</v>
      </c>
    </row>
    <row r="34" spans="2:7" x14ac:dyDescent="0.2">
      <c r="B34" s="11"/>
      <c r="C34" s="12" t="s">
        <v>11</v>
      </c>
      <c r="D34" s="13">
        <f>+D33-0.005</f>
        <v>5.0000000000000001E-3</v>
      </c>
      <c r="E34" s="24"/>
    </row>
    <row r="37" spans="2:7" ht="15.75" x14ac:dyDescent="0.25">
      <c r="B37" s="259" t="s">
        <v>19</v>
      </c>
      <c r="C37" s="259"/>
      <c r="D37" s="259"/>
      <c r="E37" s="259"/>
    </row>
    <row r="38" spans="2:7" x14ac:dyDescent="0.2">
      <c r="B38" s="261" t="s">
        <v>2</v>
      </c>
      <c r="C38" s="261"/>
      <c r="D38" s="264" t="s">
        <v>18</v>
      </c>
      <c r="E38" s="264"/>
    </row>
    <row r="39" spans="2:7" x14ac:dyDescent="0.2">
      <c r="B39" s="20" t="s">
        <v>8</v>
      </c>
      <c r="C39" s="21" t="s">
        <v>9</v>
      </c>
      <c r="D39" s="22" t="s">
        <v>10</v>
      </c>
      <c r="E39" s="23" t="s">
        <v>9</v>
      </c>
    </row>
    <row r="40" spans="2:7" x14ac:dyDescent="0.2">
      <c r="B40" s="8">
        <f>1000000*E2</f>
        <v>66000500</v>
      </c>
      <c r="C40" s="9">
        <f>+B40</f>
        <v>66000500</v>
      </c>
      <c r="D40" s="10">
        <v>3.5000000000000003E-2</v>
      </c>
      <c r="E40" s="25">
        <f>+D40*B40</f>
        <v>2310017.5</v>
      </c>
    </row>
    <row r="41" spans="2:7" x14ac:dyDescent="0.2">
      <c r="B41" s="8">
        <f>4000000*E2</f>
        <v>264002000</v>
      </c>
      <c r="C41" s="9">
        <f t="shared" ref="C41:C46" si="2">+C40+B41</f>
        <v>330002500</v>
      </c>
      <c r="D41" s="10">
        <v>2.8000000000000001E-2</v>
      </c>
      <c r="E41" s="25">
        <f t="shared" ref="E41:E46" si="3">+(C41-C40)*D41+E40</f>
        <v>9702073.5</v>
      </c>
      <c r="G41" s="26"/>
    </row>
    <row r="42" spans="2:7" x14ac:dyDescent="0.2">
      <c r="B42" s="8">
        <f>5000000*E2</f>
        <v>330002500</v>
      </c>
      <c r="C42" s="9">
        <f t="shared" si="2"/>
        <v>660005000</v>
      </c>
      <c r="D42" s="10">
        <v>2.1999999999999999E-2</v>
      </c>
      <c r="E42" s="25">
        <f t="shared" si="3"/>
        <v>16962128.5</v>
      </c>
      <c r="G42" s="26"/>
    </row>
    <row r="43" spans="2:7" x14ac:dyDescent="0.2">
      <c r="B43" s="8">
        <f>10000000*E2</f>
        <v>660005000</v>
      </c>
      <c r="C43" s="9">
        <f t="shared" si="2"/>
        <v>1320010000</v>
      </c>
      <c r="D43" s="10">
        <v>1.7000000000000001E-2</v>
      </c>
      <c r="E43" s="25">
        <f t="shared" si="3"/>
        <v>28182213.5</v>
      </c>
      <c r="G43" s="26"/>
    </row>
    <row r="44" spans="2:7" x14ac:dyDescent="0.2">
      <c r="B44" s="8">
        <f>20000000*E2</f>
        <v>1320010000</v>
      </c>
      <c r="C44" s="9">
        <f t="shared" si="2"/>
        <v>2640020000</v>
      </c>
      <c r="D44" s="10">
        <v>1.2999999999999999E-2</v>
      </c>
      <c r="E44" s="25">
        <f t="shared" si="3"/>
        <v>45342343.5</v>
      </c>
      <c r="G44" s="26"/>
    </row>
    <row r="45" spans="2:7" x14ac:dyDescent="0.2">
      <c r="B45" s="8">
        <f>40000000*E2</f>
        <v>2640020000</v>
      </c>
      <c r="C45" s="9">
        <f t="shared" si="2"/>
        <v>5280040000</v>
      </c>
      <c r="D45" s="10">
        <v>0.01</v>
      </c>
      <c r="E45" s="25">
        <f t="shared" si="3"/>
        <v>71742543.5</v>
      </c>
      <c r="G45" s="26"/>
    </row>
    <row r="46" spans="2:7" x14ac:dyDescent="0.2">
      <c r="B46" s="8">
        <f>80000000*E2</f>
        <v>5280040000</v>
      </c>
      <c r="C46" s="9">
        <f t="shared" si="2"/>
        <v>10560080000</v>
      </c>
      <c r="D46" s="10">
        <v>7.0000000000000001E-3</v>
      </c>
      <c r="E46" s="25">
        <f t="shared" si="3"/>
        <v>108702823.5</v>
      </c>
    </row>
    <row r="47" spans="2:7" x14ac:dyDescent="0.2">
      <c r="B47" s="11"/>
      <c r="C47" s="12" t="s">
        <v>11</v>
      </c>
      <c r="D47" s="13">
        <v>3.0000000000000001E-3</v>
      </c>
      <c r="E47" s="24"/>
    </row>
    <row r="48" spans="2:7" x14ac:dyDescent="0.2">
      <c r="C48" s="17"/>
      <c r="D48" s="19"/>
      <c r="E48" s="27"/>
    </row>
    <row r="50" spans="2:7" ht="15.75" x14ac:dyDescent="0.25">
      <c r="B50" s="259" t="s">
        <v>20</v>
      </c>
      <c r="C50" s="259"/>
      <c r="D50" s="259"/>
      <c r="E50" s="259"/>
      <c r="F50" s="259"/>
      <c r="G50" s="259"/>
    </row>
    <row r="51" spans="2:7" x14ac:dyDescent="0.2">
      <c r="B51" s="261" t="s">
        <v>2</v>
      </c>
      <c r="C51" s="261"/>
      <c r="D51" s="261" t="s">
        <v>21</v>
      </c>
      <c r="E51" s="261"/>
      <c r="F51" s="261" t="s">
        <v>22</v>
      </c>
      <c r="G51" s="261"/>
    </row>
    <row r="52" spans="2:7" x14ac:dyDescent="0.2">
      <c r="B52" s="20" t="s">
        <v>8</v>
      </c>
      <c r="C52" s="21" t="s">
        <v>9</v>
      </c>
      <c r="D52" s="22" t="s">
        <v>10</v>
      </c>
      <c r="E52" s="23" t="s">
        <v>9</v>
      </c>
      <c r="F52" s="22" t="s">
        <v>10</v>
      </c>
      <c r="G52" s="23" t="s">
        <v>9</v>
      </c>
    </row>
    <row r="53" spans="2:7" x14ac:dyDescent="0.2">
      <c r="B53" s="8">
        <f>200000*E2</f>
        <v>13200100</v>
      </c>
      <c r="C53" s="9">
        <f>+B53</f>
        <v>13200100</v>
      </c>
      <c r="D53" s="15">
        <v>1.2500000000000001E-2</v>
      </c>
      <c r="E53" s="28">
        <f>+D53*B53</f>
        <v>165001.25</v>
      </c>
      <c r="F53" s="15">
        <v>2.2499999999999999E-2</v>
      </c>
      <c r="G53" s="28">
        <f>+F53*C53</f>
        <v>297002.25</v>
      </c>
    </row>
    <row r="54" spans="2:7" x14ac:dyDescent="0.2">
      <c r="B54" s="8">
        <f>800000*E2</f>
        <v>52800400</v>
      </c>
      <c r="C54" s="9">
        <f>+C53+B54</f>
        <v>66000500</v>
      </c>
      <c r="D54" s="10">
        <v>0.01</v>
      </c>
      <c r="E54" s="28">
        <f>+(C54-C53)*D54+E53</f>
        <v>693005.25</v>
      </c>
      <c r="F54" s="10">
        <v>1.7000000000000001E-2</v>
      </c>
      <c r="G54" s="28">
        <f>+(C54-C53)*F54+G53</f>
        <v>1194609.05</v>
      </c>
    </row>
    <row r="55" spans="2:7" x14ac:dyDescent="0.2">
      <c r="B55" s="8">
        <f>1000000*E2</f>
        <v>66000500</v>
      </c>
      <c r="C55" s="9">
        <f>+C54+B55</f>
        <v>132001000</v>
      </c>
      <c r="D55" s="10">
        <v>7.0000000000000001E-3</v>
      </c>
      <c r="E55" s="28">
        <f>+(C55-C54)*D55+E54</f>
        <v>1155008.75</v>
      </c>
      <c r="F55" s="10">
        <v>1.2E-2</v>
      </c>
      <c r="G55" s="28">
        <f>+(C55-C54)*F55+G54</f>
        <v>1986615.05</v>
      </c>
    </row>
    <row r="56" spans="2:7" x14ac:dyDescent="0.2">
      <c r="B56" s="8">
        <f>3000000*E2</f>
        <v>198001500</v>
      </c>
      <c r="C56" s="9">
        <f>+C55+B56</f>
        <v>330002500</v>
      </c>
      <c r="D56" s="10">
        <v>5.0000000000000001E-3</v>
      </c>
      <c r="E56" s="28">
        <f>+(C56-C55)*D56+E55</f>
        <v>2145016.25</v>
      </c>
      <c r="F56" s="10">
        <v>8.9999999999999993E-3</v>
      </c>
      <c r="G56" s="28">
        <f>+(C56-C55)*F56+G55</f>
        <v>3768628.55</v>
      </c>
    </row>
    <row r="57" spans="2:7" x14ac:dyDescent="0.2">
      <c r="B57" s="11"/>
      <c r="C57" s="12" t="s">
        <v>11</v>
      </c>
      <c r="D57" s="13">
        <v>3.0000000000000001E-3</v>
      </c>
      <c r="E57" s="24"/>
      <c r="F57" s="13">
        <v>6.0000000000000001E-3</v>
      </c>
      <c r="G57" s="24"/>
    </row>
    <row r="60" spans="2:7" ht="15.75" x14ac:dyDescent="0.25">
      <c r="B60" s="259" t="s">
        <v>23</v>
      </c>
      <c r="C60" s="259"/>
      <c r="D60" s="259"/>
      <c r="E60" s="259"/>
    </row>
    <row r="61" spans="2:7" x14ac:dyDescent="0.2">
      <c r="B61" s="29" t="s">
        <v>24</v>
      </c>
      <c r="C61" s="30">
        <f>1000*E2</f>
        <v>66000.5</v>
      </c>
      <c r="D61" s="31" t="s">
        <v>25</v>
      </c>
      <c r="E61" s="32">
        <f>500*E2+2000*E2+3000*E2</f>
        <v>363002.75</v>
      </c>
    </row>
    <row r="62" spans="2:7" x14ac:dyDescent="0.2">
      <c r="B62" s="261" t="s">
        <v>2</v>
      </c>
      <c r="C62" s="261"/>
      <c r="D62" s="261" t="s">
        <v>26</v>
      </c>
      <c r="E62" s="261"/>
    </row>
    <row r="63" spans="2:7" x14ac:dyDescent="0.2">
      <c r="B63" s="20" t="s">
        <v>8</v>
      </c>
      <c r="C63" s="21" t="s">
        <v>9</v>
      </c>
      <c r="D63" s="22" t="s">
        <v>10</v>
      </c>
      <c r="E63" s="23" t="s">
        <v>9</v>
      </c>
    </row>
    <row r="64" spans="2:7" x14ac:dyDescent="0.2">
      <c r="B64" s="8">
        <f>100000*E2</f>
        <v>6600050</v>
      </c>
      <c r="C64" s="9">
        <f>+B64</f>
        <v>6600050</v>
      </c>
      <c r="D64" s="10">
        <v>0.02</v>
      </c>
      <c r="E64" s="28">
        <f>+D64*C64</f>
        <v>132001</v>
      </c>
    </row>
    <row r="65" spans="2:6" x14ac:dyDescent="0.2">
      <c r="B65" s="8">
        <f>400000*E2</f>
        <v>26400200</v>
      </c>
      <c r="C65" s="9">
        <f>+C64+B65</f>
        <v>33000250</v>
      </c>
      <c r="D65" s="10">
        <v>1.4999999999999999E-2</v>
      </c>
      <c r="E65" s="28">
        <f>+(C65-C64)*D65+E64</f>
        <v>528004</v>
      </c>
    </row>
    <row r="66" spans="2:6" x14ac:dyDescent="0.2">
      <c r="B66" s="8">
        <f>500000*E2</f>
        <v>33000250</v>
      </c>
      <c r="C66" s="9">
        <f>+C65+B66</f>
        <v>66000500</v>
      </c>
      <c r="D66" s="10">
        <v>0.01</v>
      </c>
      <c r="E66" s="28">
        <f>+(C66-C65)*D66+E65</f>
        <v>858006.5</v>
      </c>
    </row>
    <row r="67" spans="2:6" x14ac:dyDescent="0.2">
      <c r="B67" s="8">
        <f>9000000*E2</f>
        <v>594004500</v>
      </c>
      <c r="C67" s="9">
        <f>+C66+B67</f>
        <v>660005000</v>
      </c>
      <c r="D67" s="10">
        <v>8.0000000000000002E-3</v>
      </c>
      <c r="E67" s="28">
        <f>+(C67-C66)*D67+E66</f>
        <v>5610042.5</v>
      </c>
    </row>
    <row r="68" spans="2:6" x14ac:dyDescent="0.2">
      <c r="B68" s="11"/>
      <c r="C68" s="12" t="s">
        <v>11</v>
      </c>
      <c r="D68" s="13">
        <v>5.0000000000000001E-3</v>
      </c>
      <c r="E68" s="33"/>
      <c r="F68" s="34"/>
    </row>
    <row r="71" spans="2:6" ht="15.75" x14ac:dyDescent="0.25">
      <c r="B71" s="259" t="s">
        <v>27</v>
      </c>
      <c r="C71" s="259"/>
      <c r="D71" s="259"/>
      <c r="E71" s="259"/>
    </row>
    <row r="72" spans="2:6" x14ac:dyDescent="0.2">
      <c r="B72" s="260" t="s">
        <v>2</v>
      </c>
      <c r="C72" s="260"/>
      <c r="D72" s="261"/>
      <c r="E72" s="261"/>
    </row>
    <row r="73" spans="2:6" x14ac:dyDescent="0.2">
      <c r="B73" s="6" t="s">
        <v>8</v>
      </c>
      <c r="C73" s="7" t="s">
        <v>9</v>
      </c>
      <c r="D73" s="22" t="s">
        <v>10</v>
      </c>
      <c r="E73" s="23" t="s">
        <v>9</v>
      </c>
    </row>
    <row r="74" spans="2:6" x14ac:dyDescent="0.2">
      <c r="B74" s="8">
        <f>200000*E2</f>
        <v>13200100</v>
      </c>
      <c r="C74" s="9">
        <f>+B74</f>
        <v>13200100</v>
      </c>
      <c r="D74" s="10"/>
      <c r="E74" s="28">
        <v>56</v>
      </c>
    </row>
    <row r="75" spans="2:6" x14ac:dyDescent="0.2">
      <c r="B75" s="8">
        <f>800000*E2</f>
        <v>52800400</v>
      </c>
      <c r="C75" s="9">
        <f>+C74+B75</f>
        <v>66000500</v>
      </c>
      <c r="D75" s="10">
        <v>0.02</v>
      </c>
      <c r="E75" s="28">
        <f>+(C75-C74)*D75+E74</f>
        <v>1056064</v>
      </c>
    </row>
    <row r="76" spans="2:6" x14ac:dyDescent="0.2">
      <c r="B76" s="8">
        <f>1000000*E2</f>
        <v>66000500</v>
      </c>
      <c r="C76" s="9">
        <f>+C75+B76</f>
        <v>132001000</v>
      </c>
      <c r="D76" s="10">
        <v>1.4999999999999999E-2</v>
      </c>
      <c r="E76" s="28">
        <f>+(C76-C75)*D76+E75</f>
        <v>2046071.5</v>
      </c>
    </row>
    <row r="77" spans="2:6" x14ac:dyDescent="0.2">
      <c r="B77" s="8">
        <f>3000000*E2</f>
        <v>198001500</v>
      </c>
      <c r="C77" s="9">
        <f>+C76+B77</f>
        <v>330002500</v>
      </c>
      <c r="D77" s="10">
        <v>0.01</v>
      </c>
      <c r="E77" s="28">
        <f>+(C77-C76)*D77+E76</f>
        <v>4026086.5</v>
      </c>
    </row>
    <row r="78" spans="2:6" x14ac:dyDescent="0.2">
      <c r="B78" s="11"/>
      <c r="C78" s="12" t="s">
        <v>11</v>
      </c>
      <c r="D78" s="13">
        <v>5.0000000000000001E-3</v>
      </c>
      <c r="E78" s="24"/>
    </row>
    <row r="81" spans="2:27" ht="15.75" x14ac:dyDescent="0.25">
      <c r="B81" s="259" t="s">
        <v>28</v>
      </c>
      <c r="C81" s="259"/>
      <c r="D81" s="259"/>
      <c r="E81" s="259"/>
    </row>
    <row r="82" spans="2:27" x14ac:dyDescent="0.2">
      <c r="B82" s="35" t="s">
        <v>29</v>
      </c>
      <c r="C82" s="262">
        <f>1000*E2</f>
        <v>66000.5</v>
      </c>
      <c r="D82" s="262"/>
      <c r="E82" s="36" t="s">
        <v>30</v>
      </c>
    </row>
    <row r="83" spans="2:27" x14ac:dyDescent="0.2">
      <c r="B83" s="37" t="s">
        <v>31</v>
      </c>
      <c r="C83" s="263">
        <f>2000*E2</f>
        <v>132001</v>
      </c>
      <c r="D83" s="263"/>
      <c r="E83" s="39" t="s">
        <v>30</v>
      </c>
    </row>
    <row r="84" spans="2:27" x14ac:dyDescent="0.2">
      <c r="B84" s="257" t="s">
        <v>32</v>
      </c>
      <c r="C84" s="40" t="s">
        <v>33</v>
      </c>
      <c r="D84" s="41">
        <f>3000*E2</f>
        <v>198001.5</v>
      </c>
      <c r="E84" s="39" t="s">
        <v>30</v>
      </c>
    </row>
    <row r="85" spans="2:27" x14ac:dyDescent="0.2">
      <c r="B85" s="257"/>
      <c r="C85" s="42" t="s">
        <v>34</v>
      </c>
      <c r="D85" s="43">
        <f>2000*E2</f>
        <v>132001</v>
      </c>
      <c r="E85" s="14" t="s">
        <v>30</v>
      </c>
    </row>
    <row r="88" spans="2:27" ht="15.75" x14ac:dyDescent="0.25">
      <c r="B88" s="258" t="s">
        <v>35</v>
      </c>
      <c r="C88" s="44">
        <v>0.6</v>
      </c>
      <c r="D88" s="45"/>
      <c r="E88" s="45"/>
      <c r="F88" s="46"/>
      <c r="G88" s="46"/>
      <c r="H88" s="46"/>
      <c r="I88" s="46"/>
      <c r="J88" s="45"/>
      <c r="K88" s="45"/>
      <c r="L88" s="45"/>
      <c r="M88" s="45"/>
      <c r="N88" s="45"/>
      <c r="O88" s="45"/>
      <c r="P88" s="45"/>
      <c r="Q88" s="47"/>
      <c r="R88" s="47"/>
      <c r="S88" s="47"/>
      <c r="T88" s="47"/>
      <c r="U88" s="45"/>
      <c r="V88" s="47"/>
      <c r="W88" s="47"/>
      <c r="X88" s="47"/>
      <c r="Y88" s="47"/>
      <c r="Z88" s="47"/>
      <c r="AA88" s="48"/>
    </row>
    <row r="89" spans="2:27" ht="13.5" customHeight="1" x14ac:dyDescent="0.25">
      <c r="B89" s="258"/>
      <c r="C89" s="49" t="s">
        <v>36</v>
      </c>
      <c r="G89" s="50" t="s">
        <v>37</v>
      </c>
      <c r="H89" s="51"/>
      <c r="I89" s="52" t="s">
        <v>38</v>
      </c>
      <c r="J89" s="51"/>
      <c r="AA89" s="53"/>
    </row>
    <row r="90" spans="2:27" ht="15.75" customHeight="1" x14ac:dyDescent="0.2">
      <c r="B90" s="258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53"/>
    </row>
    <row r="91" spans="2:27" x14ac:dyDescent="0.2">
      <c r="B91" s="258"/>
      <c r="C91" s="54" t="s">
        <v>39</v>
      </c>
      <c r="D91" s="55">
        <f>20000*E2</f>
        <v>1320010</v>
      </c>
      <c r="E91" s="55">
        <f>40000*E2</f>
        <v>2640020</v>
      </c>
      <c r="F91" s="55">
        <f>60000*E2</f>
        <v>3960030</v>
      </c>
      <c r="G91" s="55">
        <f>80000*E2</f>
        <v>5280040</v>
      </c>
      <c r="H91" s="55">
        <f>100000*E2</f>
        <v>6600050</v>
      </c>
      <c r="I91" s="55">
        <f>150000*E2</f>
        <v>9900075</v>
      </c>
      <c r="J91" s="55">
        <f>200000*E2</f>
        <v>13200100</v>
      </c>
      <c r="K91" s="55">
        <f>250000*E2</f>
        <v>16500125</v>
      </c>
      <c r="L91" s="55">
        <f>300000*E2</f>
        <v>19800150</v>
      </c>
      <c r="M91" s="55">
        <f>350000*E2</f>
        <v>23100175</v>
      </c>
      <c r="N91" s="55">
        <f>400000*E2</f>
        <v>26400200</v>
      </c>
      <c r="O91" s="55">
        <f>450000*E2</f>
        <v>29700225</v>
      </c>
      <c r="P91" s="55">
        <f>500000*E2</f>
        <v>33000250</v>
      </c>
      <c r="Q91" s="55">
        <f>600000*E2</f>
        <v>39600300</v>
      </c>
      <c r="R91" s="55">
        <f>700000*E2</f>
        <v>46200350</v>
      </c>
      <c r="S91" s="55">
        <f>800000*E2</f>
        <v>52800400</v>
      </c>
      <c r="T91" s="55">
        <f>900000*E2</f>
        <v>59400450</v>
      </c>
      <c r="U91" s="55">
        <f>1000000*E2</f>
        <v>66000500</v>
      </c>
      <c r="V91" s="55">
        <f>1100000*E2</f>
        <v>72600550</v>
      </c>
      <c r="W91" s="55">
        <f>1200000*E2</f>
        <v>79200600</v>
      </c>
      <c r="X91" s="55">
        <f>1300000*E2</f>
        <v>85800650</v>
      </c>
      <c r="Y91" s="55">
        <f>1400000*E2</f>
        <v>92400700</v>
      </c>
      <c r="Z91" s="55">
        <f>1500000*E2</f>
        <v>99000750</v>
      </c>
      <c r="AA91" s="56"/>
    </row>
    <row r="92" spans="2:27" x14ac:dyDescent="0.2">
      <c r="B92" s="57"/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60"/>
      <c r="AA92" s="56"/>
    </row>
    <row r="93" spans="2:27" x14ac:dyDescent="0.2">
      <c r="B93" s="61">
        <v>50</v>
      </c>
      <c r="C93" s="62">
        <f>720*E2</f>
        <v>47520.36</v>
      </c>
      <c r="D93" s="63">
        <f>1200*E2</f>
        <v>79200.600000000006</v>
      </c>
      <c r="E93" s="63">
        <f>1700*E2</f>
        <v>112200.85</v>
      </c>
      <c r="F93" s="63">
        <f>2200*E2</f>
        <v>145201.1</v>
      </c>
      <c r="G93" s="63">
        <f>2700*E2</f>
        <v>178201.35</v>
      </c>
      <c r="H93" s="63">
        <f>3200*E2</f>
        <v>211201.6</v>
      </c>
      <c r="I93" s="63">
        <f>4200*E2</f>
        <v>277202.10000000003</v>
      </c>
      <c r="J93" s="63">
        <f>5200*E2</f>
        <v>343202.60000000003</v>
      </c>
      <c r="K93" s="63">
        <f>6200*E2</f>
        <v>409203.10000000003</v>
      </c>
      <c r="L93" s="63">
        <f>7200*E2</f>
        <v>475203.60000000003</v>
      </c>
      <c r="M93" s="63">
        <f>8200*E2</f>
        <v>541204.1</v>
      </c>
      <c r="N93" s="63">
        <f>9200*E2</f>
        <v>607204.6</v>
      </c>
      <c r="O93" s="63">
        <f>10200*E2</f>
        <v>673205.1</v>
      </c>
      <c r="P93" s="63">
        <f>11200*E2</f>
        <v>739205.6</v>
      </c>
      <c r="Q93" s="63">
        <f>12200*E2</f>
        <v>805206.1</v>
      </c>
      <c r="R93" s="63">
        <f>13200*E2</f>
        <v>871206.6</v>
      </c>
      <c r="S93" s="63">
        <f>14200*E2</f>
        <v>937207.1</v>
      </c>
      <c r="T93" s="63">
        <f>15200*E2</f>
        <v>1003207.6000000001</v>
      </c>
      <c r="U93" s="63">
        <f>16200*E2</f>
        <v>1069208.1000000001</v>
      </c>
      <c r="V93" s="63">
        <f>17200*E2</f>
        <v>1135208.6000000001</v>
      </c>
      <c r="W93" s="63">
        <f>18200*E2</f>
        <v>1201209.1000000001</v>
      </c>
      <c r="X93" s="63">
        <f>19200*E2</f>
        <v>1267209.6000000001</v>
      </c>
      <c r="Y93" s="63">
        <f>20200*E2</f>
        <v>1333210.1000000001</v>
      </c>
      <c r="Z93" s="63">
        <f>21200*E2</f>
        <v>1399210.6</v>
      </c>
      <c r="AA93" s="53"/>
    </row>
    <row r="94" spans="2:27" x14ac:dyDescent="0.2">
      <c r="B94" s="61">
        <v>75</v>
      </c>
      <c r="C94" s="62">
        <f>960*E2</f>
        <v>63360.480000000003</v>
      </c>
      <c r="D94" s="63">
        <f>1600*E2</f>
        <v>105600.8</v>
      </c>
      <c r="E94" s="63">
        <f>2100*E2</f>
        <v>138601.05000000002</v>
      </c>
      <c r="F94" s="63">
        <f>2600*E2</f>
        <v>171601.30000000002</v>
      </c>
      <c r="G94" s="63">
        <f>3100*E2</f>
        <v>204601.55000000002</v>
      </c>
      <c r="H94" s="63">
        <f>3600*E2</f>
        <v>237601.80000000002</v>
      </c>
      <c r="I94" s="63">
        <f>4600*E2</f>
        <v>303602.3</v>
      </c>
      <c r="J94" s="63">
        <f>5600*E2</f>
        <v>369602.8</v>
      </c>
      <c r="K94" s="63">
        <f>6600*E2</f>
        <v>435603.3</v>
      </c>
      <c r="L94" s="63">
        <f>7600*E2</f>
        <v>501603.80000000005</v>
      </c>
      <c r="M94" s="63">
        <f>8600*E2</f>
        <v>567604.30000000005</v>
      </c>
      <c r="N94" s="63">
        <f>9600*E2</f>
        <v>633604.80000000005</v>
      </c>
      <c r="O94" s="63">
        <f>10600*E2</f>
        <v>699605.3</v>
      </c>
      <c r="P94" s="63">
        <f>11600*E2</f>
        <v>765605.8</v>
      </c>
      <c r="Q94" s="63">
        <f>12600*E2</f>
        <v>831606.3</v>
      </c>
      <c r="R94" s="63">
        <f>13600*E2</f>
        <v>897606.8</v>
      </c>
      <c r="S94" s="63">
        <f>14600*E2</f>
        <v>963607.3</v>
      </c>
      <c r="T94" s="63">
        <f>15600*E2</f>
        <v>1029607.8</v>
      </c>
      <c r="U94" s="63">
        <f>16600*E2</f>
        <v>1095608.3</v>
      </c>
      <c r="V94" s="63">
        <f>17600*E2</f>
        <v>1161608.8</v>
      </c>
      <c r="W94" s="63">
        <f>18600*E2</f>
        <v>1227609.3</v>
      </c>
      <c r="X94" s="63">
        <f>19600*E2</f>
        <v>1293609.8</v>
      </c>
      <c r="Y94" s="63">
        <f>20600*E2</f>
        <v>1359610.3</v>
      </c>
      <c r="Z94" s="63">
        <f>21600*E2</f>
        <v>1425610.8</v>
      </c>
      <c r="AA94" s="53"/>
    </row>
    <row r="95" spans="2:27" x14ac:dyDescent="0.2">
      <c r="B95" s="61">
        <v>100</v>
      </c>
      <c r="C95" s="62">
        <f>1200*E2</f>
        <v>79200.600000000006</v>
      </c>
      <c r="D95" s="63">
        <f>2000*E2</f>
        <v>132001</v>
      </c>
      <c r="E95" s="63">
        <f>2500*E2</f>
        <v>165001.25</v>
      </c>
      <c r="F95" s="63">
        <f>3000*E2</f>
        <v>198001.5</v>
      </c>
      <c r="G95" s="63">
        <f>3500*E2</f>
        <v>231001.75</v>
      </c>
      <c r="H95" s="63">
        <f>4000*E2</f>
        <v>264002</v>
      </c>
      <c r="I95" s="63">
        <f>5000*E2</f>
        <v>330002.5</v>
      </c>
      <c r="J95" s="63">
        <f>6000*E2</f>
        <v>396003</v>
      </c>
      <c r="K95" s="63">
        <f>7000*E2</f>
        <v>462003.5</v>
      </c>
      <c r="L95" s="63">
        <f>8000*E2</f>
        <v>528004</v>
      </c>
      <c r="M95" s="63">
        <f>9000*E2</f>
        <v>594004.5</v>
      </c>
      <c r="N95" s="63">
        <f>10000*E2</f>
        <v>660005</v>
      </c>
      <c r="O95" s="63">
        <f>11000*E2</f>
        <v>726005.5</v>
      </c>
      <c r="P95" s="63">
        <f>12000*E2</f>
        <v>792006</v>
      </c>
      <c r="Q95" s="63">
        <f>13000*E2</f>
        <v>858006.5</v>
      </c>
      <c r="R95" s="63">
        <f>14000*E2</f>
        <v>924007</v>
      </c>
      <c r="S95" s="63">
        <f>15000*E2</f>
        <v>990007.5</v>
      </c>
      <c r="T95" s="63">
        <f>16000*E2</f>
        <v>1056008</v>
      </c>
      <c r="U95" s="63">
        <f>17000*E2</f>
        <v>1122008.5</v>
      </c>
      <c r="V95" s="63">
        <f>18000*E2</f>
        <v>1188009</v>
      </c>
      <c r="W95" s="63">
        <f>19000*E2</f>
        <v>1254009.5</v>
      </c>
      <c r="X95" s="63">
        <f>20000*E2</f>
        <v>1320010</v>
      </c>
      <c r="Y95" s="63">
        <f>21000*E2</f>
        <v>1386010.5</v>
      </c>
      <c r="Z95" s="63">
        <f>22000*E2</f>
        <v>1452011</v>
      </c>
      <c r="AA95" s="53"/>
    </row>
    <row r="96" spans="2:27" x14ac:dyDescent="0.2">
      <c r="B96" s="61">
        <v>125</v>
      </c>
      <c r="C96" s="62">
        <f>1440*E2</f>
        <v>95040.72</v>
      </c>
      <c r="D96" s="63">
        <f>2400*E2</f>
        <v>158401.20000000001</v>
      </c>
      <c r="E96" s="63">
        <f>2900*E2</f>
        <v>191401.45</v>
      </c>
      <c r="F96" s="63">
        <f>3400*E2</f>
        <v>224401.7</v>
      </c>
      <c r="G96" s="63">
        <f>3900*E2</f>
        <v>257401.95</v>
      </c>
      <c r="H96" s="63">
        <f>4400*E2</f>
        <v>290402.2</v>
      </c>
      <c r="I96" s="63">
        <f>5400*E2</f>
        <v>356402.7</v>
      </c>
      <c r="J96" s="63">
        <f>6400*E2</f>
        <v>422403.2</v>
      </c>
      <c r="K96" s="63">
        <f>7400*E2</f>
        <v>488403.7</v>
      </c>
      <c r="L96" s="63">
        <f>8400*E2</f>
        <v>554404.20000000007</v>
      </c>
      <c r="M96" s="63">
        <f>9400*E2</f>
        <v>620404.70000000007</v>
      </c>
      <c r="N96" s="63">
        <f>10400*E2</f>
        <v>686405.20000000007</v>
      </c>
      <c r="O96" s="63">
        <f>11400*E2</f>
        <v>752405.70000000007</v>
      </c>
      <c r="P96" s="63">
        <f>12400*E2</f>
        <v>818406.20000000007</v>
      </c>
      <c r="Q96" s="63">
        <f>13400*E2</f>
        <v>884406.70000000007</v>
      </c>
      <c r="R96" s="63">
        <f>14400*E2</f>
        <v>950407.20000000007</v>
      </c>
      <c r="S96" s="63">
        <f>15400*E2</f>
        <v>1016407.7000000001</v>
      </c>
      <c r="T96" s="63">
        <f>16400*E2</f>
        <v>1082408.2</v>
      </c>
      <c r="U96" s="63">
        <f>17400*E2</f>
        <v>1148408.7</v>
      </c>
      <c r="V96" s="63">
        <f>18400*E2</f>
        <v>1214409.2</v>
      </c>
      <c r="W96" s="63">
        <f>19400*E2</f>
        <v>1280409.7</v>
      </c>
      <c r="X96" s="63">
        <f>20400*E2</f>
        <v>1346410.2</v>
      </c>
      <c r="Y96" s="63">
        <f>21400*E2</f>
        <v>1412410.7</v>
      </c>
      <c r="Z96" s="63">
        <f>22400*E2</f>
        <v>1478411.2</v>
      </c>
      <c r="AA96" s="53"/>
    </row>
    <row r="97" spans="2:27" x14ac:dyDescent="0.2">
      <c r="B97" s="61">
        <v>150</v>
      </c>
      <c r="C97" s="62">
        <f>1680*E2</f>
        <v>110880.84000000001</v>
      </c>
      <c r="D97" s="63">
        <f>2800*E2</f>
        <v>184801.4</v>
      </c>
      <c r="E97" s="63">
        <f>3300*E2</f>
        <v>217801.65</v>
      </c>
      <c r="F97" s="63">
        <f>3800*E2</f>
        <v>250801.90000000002</v>
      </c>
      <c r="G97" s="63">
        <f>4300*E2</f>
        <v>283802.15000000002</v>
      </c>
      <c r="H97" s="63">
        <f>4800*E2</f>
        <v>316802.40000000002</v>
      </c>
      <c r="I97" s="63">
        <f>5800*E2</f>
        <v>382802.9</v>
      </c>
      <c r="J97" s="63">
        <f>6800*E2</f>
        <v>448803.4</v>
      </c>
      <c r="K97" s="63">
        <f>7800*E2</f>
        <v>514803.9</v>
      </c>
      <c r="L97" s="63">
        <f>8800*E2</f>
        <v>580804.4</v>
      </c>
      <c r="M97" s="63">
        <f>9800*E2</f>
        <v>646804.9</v>
      </c>
      <c r="N97" s="63">
        <f>10800*E2</f>
        <v>712805.4</v>
      </c>
      <c r="O97" s="63">
        <f>11800*E2</f>
        <v>778805.9</v>
      </c>
      <c r="P97" s="63">
        <f>12800*E2</f>
        <v>844806.4</v>
      </c>
      <c r="Q97" s="63">
        <f>13800*E2</f>
        <v>910806.9</v>
      </c>
      <c r="R97" s="63">
        <f>14800*E2</f>
        <v>976807.4</v>
      </c>
      <c r="S97" s="63">
        <f>15800*E2</f>
        <v>1042807.9</v>
      </c>
      <c r="T97" s="63">
        <f>16800*E2</f>
        <v>1108808.4000000001</v>
      </c>
      <c r="U97" s="63">
        <f>17800*E2</f>
        <v>1174808.9000000001</v>
      </c>
      <c r="V97" s="63">
        <f>18800*E2</f>
        <v>1240809.4000000001</v>
      </c>
      <c r="W97" s="63">
        <f>19800*E2</f>
        <v>1306809.9000000001</v>
      </c>
      <c r="X97" s="63">
        <f>20800*E2</f>
        <v>1372810.4000000001</v>
      </c>
      <c r="Y97" s="63">
        <f>21800*E2</f>
        <v>1438810.9000000001</v>
      </c>
      <c r="Z97" s="63">
        <f>22800*E2</f>
        <v>1504811.4000000001</v>
      </c>
      <c r="AA97" s="53"/>
    </row>
    <row r="98" spans="2:27" x14ac:dyDescent="0.2">
      <c r="B98" s="61">
        <v>175</v>
      </c>
      <c r="C98" s="62">
        <f>1920*E2</f>
        <v>126720.96000000001</v>
      </c>
      <c r="D98" s="63">
        <f>3200*E2</f>
        <v>211201.6</v>
      </c>
      <c r="E98" s="63">
        <f>3700*E2</f>
        <v>244201.85</v>
      </c>
      <c r="F98" s="63">
        <f>4200*E2</f>
        <v>277202.10000000003</v>
      </c>
      <c r="G98" s="63">
        <f>4700*E2</f>
        <v>310202.35000000003</v>
      </c>
      <c r="H98" s="63">
        <f>5200*E2</f>
        <v>343202.60000000003</v>
      </c>
      <c r="I98" s="63">
        <f>6200*E2</f>
        <v>409203.10000000003</v>
      </c>
      <c r="J98" s="63">
        <f>7200*E2</f>
        <v>475203.60000000003</v>
      </c>
      <c r="K98" s="63">
        <f>8200*E2</f>
        <v>541204.1</v>
      </c>
      <c r="L98" s="63">
        <f>9200*E2</f>
        <v>607204.6</v>
      </c>
      <c r="M98" s="63">
        <f>10200*E2</f>
        <v>673205.1</v>
      </c>
      <c r="N98" s="63">
        <f>11200*E2</f>
        <v>739205.6</v>
      </c>
      <c r="O98" s="63">
        <f>12200*E2</f>
        <v>805206.1</v>
      </c>
      <c r="P98" s="63">
        <f>13200*E2</f>
        <v>871206.6</v>
      </c>
      <c r="Q98" s="63">
        <f>14200*E2</f>
        <v>937207.1</v>
      </c>
      <c r="R98" s="63">
        <f>15200*E2</f>
        <v>1003207.6000000001</v>
      </c>
      <c r="S98" s="63">
        <f>16200*E2</f>
        <v>1069208.1000000001</v>
      </c>
      <c r="T98" s="63">
        <f>17200*E2</f>
        <v>1135208.6000000001</v>
      </c>
      <c r="U98" s="63">
        <f>18200*E2</f>
        <v>1201209.1000000001</v>
      </c>
      <c r="V98" s="63">
        <f>19200*E2</f>
        <v>1267209.6000000001</v>
      </c>
      <c r="W98" s="63">
        <f>20200*E2</f>
        <v>1333210.1000000001</v>
      </c>
      <c r="X98" s="63">
        <f>21200*E2</f>
        <v>1399210.6</v>
      </c>
      <c r="Y98" s="63">
        <f>22200*E2</f>
        <v>1465211.1</v>
      </c>
      <c r="Z98" s="63">
        <f>23200*E2</f>
        <v>1531211.6</v>
      </c>
      <c r="AA98" s="53"/>
    </row>
    <row r="99" spans="2:27" x14ac:dyDescent="0.2">
      <c r="B99" s="61">
        <v>200</v>
      </c>
      <c r="C99" s="62">
        <f>2160*E2</f>
        <v>142561.08000000002</v>
      </c>
      <c r="D99" s="63">
        <f>3600*E2</f>
        <v>237601.80000000002</v>
      </c>
      <c r="E99" s="63">
        <f>4100*E2</f>
        <v>270602.05</v>
      </c>
      <c r="F99" s="63">
        <f>4600*E2</f>
        <v>303602.3</v>
      </c>
      <c r="G99" s="63">
        <f>5100*E2</f>
        <v>336602.55</v>
      </c>
      <c r="H99" s="63">
        <f>5600*E2</f>
        <v>369602.8</v>
      </c>
      <c r="I99" s="63">
        <f>6600*E2</f>
        <v>435603.3</v>
      </c>
      <c r="J99" s="63">
        <f>7600*E2</f>
        <v>501603.80000000005</v>
      </c>
      <c r="K99" s="63">
        <f>8600*E2</f>
        <v>567604.30000000005</v>
      </c>
      <c r="L99" s="63">
        <f>9600*E2</f>
        <v>633604.80000000005</v>
      </c>
      <c r="M99" s="63">
        <f>10600*E2</f>
        <v>699605.3</v>
      </c>
      <c r="N99" s="63">
        <f>11600*E2</f>
        <v>765605.8</v>
      </c>
      <c r="O99" s="63">
        <f>12600*E2</f>
        <v>831606.3</v>
      </c>
      <c r="P99" s="63">
        <f>13600*E2</f>
        <v>897606.8</v>
      </c>
      <c r="Q99" s="63">
        <f>14600*E2</f>
        <v>963607.3</v>
      </c>
      <c r="R99" s="63">
        <f>15600*E2</f>
        <v>1029607.8</v>
      </c>
      <c r="S99" s="63">
        <f>16600*E2</f>
        <v>1095608.3</v>
      </c>
      <c r="T99" s="63">
        <f>17600*E2</f>
        <v>1161608.8</v>
      </c>
      <c r="U99" s="63">
        <f>18600*E2</f>
        <v>1227609.3</v>
      </c>
      <c r="V99" s="63">
        <f>19600*E2</f>
        <v>1293609.8</v>
      </c>
      <c r="W99" s="63">
        <f>20600*E2</f>
        <v>1359610.3</v>
      </c>
      <c r="X99" s="63">
        <f>21600*E2</f>
        <v>1425610.8</v>
      </c>
      <c r="Y99" s="63">
        <f>22600*E2</f>
        <v>1491611.3</v>
      </c>
      <c r="Z99" s="63">
        <f>23600*E2</f>
        <v>1557611.8</v>
      </c>
      <c r="AA99" s="53"/>
    </row>
    <row r="100" spans="2:27" x14ac:dyDescent="0.2">
      <c r="B100" s="61">
        <v>230</v>
      </c>
      <c r="C100" s="62">
        <f>2400*E2</f>
        <v>158401.20000000001</v>
      </c>
      <c r="D100" s="63">
        <f>4000*E2</f>
        <v>264002</v>
      </c>
      <c r="E100" s="63">
        <f>4500*E2</f>
        <v>297002.25</v>
      </c>
      <c r="F100" s="63">
        <f>5000*E2</f>
        <v>330002.5</v>
      </c>
      <c r="G100" s="63">
        <f>5500*E2</f>
        <v>363002.75</v>
      </c>
      <c r="H100" s="63">
        <f>6000*E2</f>
        <v>396003</v>
      </c>
      <c r="I100" s="63">
        <f>7000*E2</f>
        <v>462003.5</v>
      </c>
      <c r="J100" s="63">
        <f>8000*E2</f>
        <v>528004</v>
      </c>
      <c r="K100" s="63">
        <f>9000*E2</f>
        <v>594004.5</v>
      </c>
      <c r="L100" s="63">
        <f>10000*E2</f>
        <v>660005</v>
      </c>
      <c r="M100" s="63">
        <f>11000*E2</f>
        <v>726005.5</v>
      </c>
      <c r="N100" s="63">
        <f>12000*E2</f>
        <v>792006</v>
      </c>
      <c r="O100" s="63">
        <f>13000*E2</f>
        <v>858006.5</v>
      </c>
      <c r="P100" s="63">
        <f>14000*E2</f>
        <v>924007</v>
      </c>
      <c r="Q100" s="63">
        <f>15000*E2</f>
        <v>990007.5</v>
      </c>
      <c r="R100" s="63">
        <f>16000*E2</f>
        <v>1056008</v>
      </c>
      <c r="S100" s="63">
        <f>17000*E2</f>
        <v>1122008.5</v>
      </c>
      <c r="T100" s="63">
        <f>18000*E2</f>
        <v>1188009</v>
      </c>
      <c r="U100" s="63">
        <f>19000*E2</f>
        <v>1254009.5</v>
      </c>
      <c r="V100" s="63">
        <f>20000*E2</f>
        <v>1320010</v>
      </c>
      <c r="W100" s="63">
        <f>21000*E2</f>
        <v>1386010.5</v>
      </c>
      <c r="X100" s="63">
        <f>22000*E2</f>
        <v>1452011</v>
      </c>
      <c r="Y100" s="63">
        <f>23000*E2</f>
        <v>1518011.5</v>
      </c>
      <c r="Z100" s="63">
        <f>24000*E2</f>
        <v>1584012</v>
      </c>
      <c r="AA100" s="53"/>
    </row>
    <row r="101" spans="2:27" x14ac:dyDescent="0.2">
      <c r="B101" s="61">
        <v>260</v>
      </c>
      <c r="C101" s="62">
        <f>2640*E2</f>
        <v>174241.32</v>
      </c>
      <c r="D101" s="63">
        <f>4400*E2</f>
        <v>290402.2</v>
      </c>
      <c r="E101" s="63">
        <f>4900*E2</f>
        <v>323402.45</v>
      </c>
      <c r="F101" s="63">
        <f>5400*E2</f>
        <v>356402.7</v>
      </c>
      <c r="G101" s="63">
        <f>5900*E2</f>
        <v>389402.95</v>
      </c>
      <c r="H101" s="63">
        <f>6400*E2</f>
        <v>422403.2</v>
      </c>
      <c r="I101" s="63">
        <f>7400*E2</f>
        <v>488403.7</v>
      </c>
      <c r="J101" s="63">
        <f>8400*E2</f>
        <v>554404.20000000007</v>
      </c>
      <c r="K101" s="63">
        <f>9400*E2</f>
        <v>620404.70000000007</v>
      </c>
      <c r="L101" s="63">
        <f>10400*E2</f>
        <v>686405.20000000007</v>
      </c>
      <c r="M101" s="63">
        <f>11400*E2</f>
        <v>752405.70000000007</v>
      </c>
      <c r="N101" s="63">
        <f>12400*E2</f>
        <v>818406.20000000007</v>
      </c>
      <c r="O101" s="63">
        <f>13400*E2</f>
        <v>884406.70000000007</v>
      </c>
      <c r="P101" s="63">
        <f>14400*E2</f>
        <v>950407.20000000007</v>
      </c>
      <c r="Q101" s="63">
        <f>15400*E2</f>
        <v>1016407.7000000001</v>
      </c>
      <c r="R101" s="63">
        <f>16400*E2</f>
        <v>1082408.2</v>
      </c>
      <c r="S101" s="63">
        <f>17400*E2</f>
        <v>1148408.7</v>
      </c>
      <c r="T101" s="63">
        <f>18400*E2</f>
        <v>1214409.2</v>
      </c>
      <c r="U101" s="63">
        <f>19400*E2</f>
        <v>1280409.7</v>
      </c>
      <c r="V101" s="63">
        <f>20400*E2</f>
        <v>1346410.2</v>
      </c>
      <c r="W101" s="63">
        <f>21400*E2</f>
        <v>1412410.7</v>
      </c>
      <c r="X101" s="63">
        <f>22400*E2</f>
        <v>1478411.2</v>
      </c>
      <c r="Y101" s="63">
        <f>23400*E2</f>
        <v>1544411.7</v>
      </c>
      <c r="Z101" s="63">
        <f>24400*E2</f>
        <v>1610412.2</v>
      </c>
      <c r="AA101" s="53"/>
    </row>
    <row r="102" spans="2:27" x14ac:dyDescent="0.2">
      <c r="B102" s="61">
        <v>300</v>
      </c>
      <c r="C102" s="62">
        <f>2880*E2</f>
        <v>190081.44</v>
      </c>
      <c r="D102" s="63">
        <f>4800*E2</f>
        <v>316802.40000000002</v>
      </c>
      <c r="E102" s="63">
        <f>5300*E2</f>
        <v>349802.65</v>
      </c>
      <c r="F102" s="63">
        <f>5800*E2</f>
        <v>382802.9</v>
      </c>
      <c r="G102" s="63">
        <f>6300*E2</f>
        <v>415803.15</v>
      </c>
      <c r="H102" s="63">
        <f>6800*E2</f>
        <v>448803.4</v>
      </c>
      <c r="I102" s="63">
        <f>7800*E2</f>
        <v>514803.9</v>
      </c>
      <c r="J102" s="63">
        <f>8800*E2</f>
        <v>580804.4</v>
      </c>
      <c r="K102" s="63">
        <f>9800*E2</f>
        <v>646804.9</v>
      </c>
      <c r="L102" s="63">
        <f>10800*E2</f>
        <v>712805.4</v>
      </c>
      <c r="M102" s="63">
        <f>11800*E2</f>
        <v>778805.9</v>
      </c>
      <c r="N102" s="63">
        <f>12800*E2</f>
        <v>844806.4</v>
      </c>
      <c r="O102" s="63">
        <f>13800*E2</f>
        <v>910806.9</v>
      </c>
      <c r="P102" s="63">
        <f>14800*E2</f>
        <v>976807.4</v>
      </c>
      <c r="Q102" s="63">
        <f>15800*E2</f>
        <v>1042807.9</v>
      </c>
      <c r="R102" s="63">
        <f>16800*E2</f>
        <v>1108808.4000000001</v>
      </c>
      <c r="S102" s="63">
        <f>17800*E2</f>
        <v>1174808.9000000001</v>
      </c>
      <c r="T102" s="63">
        <f>18800*E2</f>
        <v>1240809.4000000001</v>
      </c>
      <c r="U102" s="63">
        <f>19800*E2</f>
        <v>1306809.9000000001</v>
      </c>
      <c r="V102" s="63">
        <f>20800*E2</f>
        <v>1372810.4000000001</v>
      </c>
      <c r="W102" s="63">
        <f>21800*E2</f>
        <v>1438810.9000000001</v>
      </c>
      <c r="X102" s="63">
        <f>22800*E2</f>
        <v>1504811.4000000001</v>
      </c>
      <c r="Y102" s="63">
        <f>23800*E2</f>
        <v>1570811.9000000001</v>
      </c>
      <c r="Z102" s="63">
        <f>24800*E2</f>
        <v>1636812.4000000001</v>
      </c>
      <c r="AA102" s="53"/>
    </row>
    <row r="103" spans="2:27" x14ac:dyDescent="0.2">
      <c r="B103" s="61">
        <v>350</v>
      </c>
      <c r="C103" s="62">
        <f>3120*E2</f>
        <v>205921.56</v>
      </c>
      <c r="D103" s="63">
        <f>5200*E2</f>
        <v>343202.60000000003</v>
      </c>
      <c r="E103" s="63">
        <f>5700*E2</f>
        <v>376202.85000000003</v>
      </c>
      <c r="F103" s="63">
        <f>6200*E2</f>
        <v>409203.10000000003</v>
      </c>
      <c r="G103" s="63">
        <f>6700*E2</f>
        <v>442203.35000000003</v>
      </c>
      <c r="H103" s="63">
        <f>7200*E2</f>
        <v>475203.60000000003</v>
      </c>
      <c r="I103" s="63">
        <f>8200*E2</f>
        <v>541204.1</v>
      </c>
      <c r="J103" s="63">
        <f>9200*E2</f>
        <v>607204.6</v>
      </c>
      <c r="K103" s="63">
        <f>10200*E2</f>
        <v>673205.1</v>
      </c>
      <c r="L103" s="63">
        <f>11200*E2</f>
        <v>739205.6</v>
      </c>
      <c r="M103" s="63">
        <f>12200*E2</f>
        <v>805206.1</v>
      </c>
      <c r="N103" s="63">
        <f>13200*E2</f>
        <v>871206.6</v>
      </c>
      <c r="O103" s="63">
        <f>14200*E2</f>
        <v>937207.1</v>
      </c>
      <c r="P103" s="63">
        <f>15200*E2</f>
        <v>1003207.6000000001</v>
      </c>
      <c r="Q103" s="63">
        <f>16200*E2</f>
        <v>1069208.1000000001</v>
      </c>
      <c r="R103" s="63">
        <f>17200*E2</f>
        <v>1135208.6000000001</v>
      </c>
      <c r="S103" s="63">
        <f>18200*E2</f>
        <v>1201209.1000000001</v>
      </c>
      <c r="T103" s="63">
        <f>19200*E2</f>
        <v>1267209.6000000001</v>
      </c>
      <c r="U103" s="63">
        <f>20200*E2</f>
        <v>1333210.1000000001</v>
      </c>
      <c r="V103" s="63">
        <f>21200*E2</f>
        <v>1399210.6</v>
      </c>
      <c r="W103" s="63">
        <f>22200*E2</f>
        <v>1465211.1</v>
      </c>
      <c r="X103" s="63">
        <f>23200*E2</f>
        <v>1531211.6</v>
      </c>
      <c r="Y103" s="63">
        <f>24200*E2</f>
        <v>1597212.1</v>
      </c>
      <c r="Z103" s="63">
        <f>25200*E2</f>
        <v>1663212.6</v>
      </c>
      <c r="AA103" s="53"/>
    </row>
    <row r="104" spans="2:27" x14ac:dyDescent="0.2">
      <c r="B104" s="61">
        <v>400</v>
      </c>
      <c r="C104" s="62">
        <f>3360*E2</f>
        <v>221761.68000000002</v>
      </c>
      <c r="D104" s="63">
        <f>5600*E2</f>
        <v>369602.8</v>
      </c>
      <c r="E104" s="63">
        <f>6100*E2</f>
        <v>402603.05</v>
      </c>
      <c r="F104" s="63">
        <f>6600*E2</f>
        <v>435603.3</v>
      </c>
      <c r="G104" s="63">
        <f>7100*E2</f>
        <v>468603.55</v>
      </c>
      <c r="H104" s="63">
        <f>7600*E2</f>
        <v>501603.80000000005</v>
      </c>
      <c r="I104" s="63">
        <f>8600*E2</f>
        <v>567604.30000000005</v>
      </c>
      <c r="J104" s="63">
        <f>9600*E2</f>
        <v>633604.80000000005</v>
      </c>
      <c r="K104" s="63">
        <f>10600*E2</f>
        <v>699605.3</v>
      </c>
      <c r="L104" s="63">
        <f>11600*E2</f>
        <v>765605.8</v>
      </c>
      <c r="M104" s="63">
        <f>12600*E2</f>
        <v>831606.3</v>
      </c>
      <c r="N104" s="63">
        <f>13600*E2</f>
        <v>897606.8</v>
      </c>
      <c r="O104" s="63">
        <f>14600*E2</f>
        <v>963607.3</v>
      </c>
      <c r="P104" s="63">
        <f>15600*E2</f>
        <v>1029607.8</v>
      </c>
      <c r="Q104" s="63">
        <f>16600*E2</f>
        <v>1095608.3</v>
      </c>
      <c r="R104" s="63">
        <f>17600*E2</f>
        <v>1161608.8</v>
      </c>
      <c r="S104" s="63">
        <f>18600*E2</f>
        <v>1227609.3</v>
      </c>
      <c r="T104" s="63">
        <f>19600*E2</f>
        <v>1293609.8</v>
      </c>
      <c r="U104" s="63">
        <f>20600*E2</f>
        <v>1359610.3</v>
      </c>
      <c r="V104" s="63">
        <f>21600*E2</f>
        <v>1425610.8</v>
      </c>
      <c r="W104" s="63">
        <f>22600*E2</f>
        <v>1491611.3</v>
      </c>
      <c r="X104" s="63">
        <f>23600*E2</f>
        <v>1557611.8</v>
      </c>
      <c r="Y104" s="63">
        <f>24600*E2</f>
        <v>1623612.3</v>
      </c>
      <c r="Z104" s="63">
        <f>25600*E2</f>
        <v>1689612.8</v>
      </c>
      <c r="AA104" s="53"/>
    </row>
    <row r="105" spans="2:27" x14ac:dyDescent="0.2">
      <c r="B105" s="61">
        <v>500</v>
      </c>
      <c r="C105" s="62">
        <f>3600*E2</f>
        <v>237601.80000000002</v>
      </c>
      <c r="D105" s="63">
        <f>6000*E2</f>
        <v>396003</v>
      </c>
      <c r="E105" s="63">
        <f>6500*E2</f>
        <v>429003.25</v>
      </c>
      <c r="F105" s="63">
        <f>7000*E2</f>
        <v>462003.5</v>
      </c>
      <c r="G105" s="63">
        <f>7500*E2</f>
        <v>495003.75</v>
      </c>
      <c r="H105" s="63">
        <f>8000*E2</f>
        <v>528004</v>
      </c>
      <c r="I105" s="63">
        <f>9000*E2</f>
        <v>594004.5</v>
      </c>
      <c r="J105" s="63">
        <f>10000*E2</f>
        <v>660005</v>
      </c>
      <c r="K105" s="63">
        <f>11000*E2</f>
        <v>726005.5</v>
      </c>
      <c r="L105" s="63">
        <f>12000*E2</f>
        <v>792006</v>
      </c>
      <c r="M105" s="63">
        <f>13000*E2</f>
        <v>858006.5</v>
      </c>
      <c r="N105" s="63">
        <f>14000*E2</f>
        <v>924007</v>
      </c>
      <c r="O105" s="63">
        <f>15000*E2</f>
        <v>990007.5</v>
      </c>
      <c r="P105" s="63">
        <f>16000*E2</f>
        <v>1056008</v>
      </c>
      <c r="Q105" s="63">
        <f>17000*E2</f>
        <v>1122008.5</v>
      </c>
      <c r="R105" s="63">
        <f>18000*E2</f>
        <v>1188009</v>
      </c>
      <c r="S105" s="63">
        <f>19000*E2</f>
        <v>1254009.5</v>
      </c>
      <c r="T105" s="63">
        <f>20000*E2</f>
        <v>1320010</v>
      </c>
      <c r="U105" s="63">
        <f>21000*E2</f>
        <v>1386010.5</v>
      </c>
      <c r="V105" s="63">
        <f>22000*E2</f>
        <v>1452011</v>
      </c>
      <c r="W105" s="63">
        <f>23000*E2</f>
        <v>1518011.5</v>
      </c>
      <c r="X105" s="63">
        <f>24000*E2</f>
        <v>1584012</v>
      </c>
      <c r="Y105" s="63">
        <f>25000*E2</f>
        <v>1650012.5</v>
      </c>
      <c r="Z105" s="63">
        <f>26000*E2</f>
        <v>1716013</v>
      </c>
      <c r="AA105" s="53"/>
    </row>
    <row r="106" spans="2:27" x14ac:dyDescent="0.2">
      <c r="B106" s="61">
        <v>600</v>
      </c>
      <c r="C106" s="62">
        <f>3840*E2</f>
        <v>253441.92000000001</v>
      </c>
      <c r="D106" s="63">
        <f>6400*E2</f>
        <v>422403.2</v>
      </c>
      <c r="E106" s="63">
        <f>6900*E2</f>
        <v>455403.45</v>
      </c>
      <c r="F106" s="63">
        <f>7400*E2</f>
        <v>488403.7</v>
      </c>
      <c r="G106" s="63">
        <f>7900*E2</f>
        <v>521403.95</v>
      </c>
      <c r="H106" s="63">
        <f>8400*E2</f>
        <v>554404.20000000007</v>
      </c>
      <c r="I106" s="63">
        <f>9400*E2</f>
        <v>620404.70000000007</v>
      </c>
      <c r="J106" s="63">
        <f>10400*E2</f>
        <v>686405.20000000007</v>
      </c>
      <c r="K106" s="63">
        <f>11400*E2</f>
        <v>752405.70000000007</v>
      </c>
      <c r="L106" s="63">
        <f>12400*E2</f>
        <v>818406.20000000007</v>
      </c>
      <c r="M106" s="63">
        <f>13400*E2</f>
        <v>884406.70000000007</v>
      </c>
      <c r="N106" s="63">
        <f>14400*E2</f>
        <v>950407.20000000007</v>
      </c>
      <c r="O106" s="63">
        <f>15400*E2</f>
        <v>1016407.7000000001</v>
      </c>
      <c r="P106" s="63">
        <f>16400*E2</f>
        <v>1082408.2</v>
      </c>
      <c r="Q106" s="63">
        <f>17400*E2</f>
        <v>1148408.7</v>
      </c>
      <c r="R106" s="63">
        <f>18400*E2</f>
        <v>1214409.2</v>
      </c>
      <c r="S106" s="63">
        <f>19400*E2</f>
        <v>1280409.7</v>
      </c>
      <c r="T106" s="63">
        <f>20400*E2</f>
        <v>1346410.2</v>
      </c>
      <c r="U106" s="63">
        <f>21400*E2</f>
        <v>1412410.7</v>
      </c>
      <c r="V106" s="63">
        <f>22400*E2</f>
        <v>1478411.2</v>
      </c>
      <c r="W106" s="63">
        <f>23400*E2</f>
        <v>1544411.7</v>
      </c>
      <c r="X106" s="63">
        <f>24400*E2</f>
        <v>1610412.2</v>
      </c>
      <c r="Y106" s="63">
        <f>25400*E2</f>
        <v>1676412.7</v>
      </c>
      <c r="Z106" s="63">
        <f>26400*E2</f>
        <v>1742413.2</v>
      </c>
      <c r="AA106" s="53"/>
    </row>
    <row r="107" spans="2:27" x14ac:dyDescent="0.2">
      <c r="B107" s="61">
        <v>800</v>
      </c>
      <c r="C107" s="62">
        <f>4320*E2</f>
        <v>285122.16000000003</v>
      </c>
      <c r="D107" s="63">
        <f>7200*E2</f>
        <v>475203.60000000003</v>
      </c>
      <c r="E107" s="63">
        <f>7700*E2</f>
        <v>508203.85000000003</v>
      </c>
      <c r="F107" s="63">
        <f>8200*E2</f>
        <v>541204.1</v>
      </c>
      <c r="G107" s="63">
        <f>8700*E2</f>
        <v>574204.35</v>
      </c>
      <c r="H107" s="63">
        <f>9200*E2</f>
        <v>607204.6</v>
      </c>
      <c r="I107" s="63">
        <f>10200*E2</f>
        <v>673205.1</v>
      </c>
      <c r="J107" s="63">
        <f>11200*E2</f>
        <v>739205.6</v>
      </c>
      <c r="K107" s="63">
        <f>12200*E2</f>
        <v>805206.1</v>
      </c>
      <c r="L107" s="63">
        <f>13200*E2</f>
        <v>871206.6</v>
      </c>
      <c r="M107" s="63">
        <f>14200*E2</f>
        <v>937207.1</v>
      </c>
      <c r="N107" s="63">
        <f>15200*E2</f>
        <v>1003207.6000000001</v>
      </c>
      <c r="O107" s="63">
        <f>16200*E2</f>
        <v>1069208.1000000001</v>
      </c>
      <c r="P107" s="63">
        <f>17200*E2</f>
        <v>1135208.6000000001</v>
      </c>
      <c r="Q107" s="63">
        <f>18200*E2</f>
        <v>1201209.1000000001</v>
      </c>
      <c r="R107" s="63">
        <f>19200*E2</f>
        <v>1267209.6000000001</v>
      </c>
      <c r="S107" s="63">
        <f>20200*E2</f>
        <v>1333210.1000000001</v>
      </c>
      <c r="T107" s="63">
        <f>21200*E2</f>
        <v>1399210.6</v>
      </c>
      <c r="U107" s="63">
        <f>22200*E2</f>
        <v>1465211.1</v>
      </c>
      <c r="V107" s="63">
        <f>23200*E2</f>
        <v>1531211.6</v>
      </c>
      <c r="W107" s="63">
        <f>24200*E2</f>
        <v>1597212.1</v>
      </c>
      <c r="X107" s="63">
        <f>25200*E2</f>
        <v>1663212.6</v>
      </c>
      <c r="Y107" s="63">
        <f>26200*E2</f>
        <v>1729213.1</v>
      </c>
      <c r="Z107" s="63">
        <f>27200*E2</f>
        <v>1795213.6</v>
      </c>
      <c r="AA107" s="53"/>
    </row>
    <row r="108" spans="2:27" x14ac:dyDescent="0.2">
      <c r="B108" s="61">
        <v>1000</v>
      </c>
      <c r="C108" s="62">
        <f>4800*E2</f>
        <v>316802.40000000002</v>
      </c>
      <c r="D108" s="63">
        <f>8000*E2</f>
        <v>528004</v>
      </c>
      <c r="E108" s="63">
        <f>8500*E2</f>
        <v>561004.25</v>
      </c>
      <c r="F108" s="63">
        <f>9000*E2</f>
        <v>594004.5</v>
      </c>
      <c r="G108" s="63">
        <f>9500*E2</f>
        <v>627004.75</v>
      </c>
      <c r="H108" s="63">
        <f>10000*E2</f>
        <v>660005</v>
      </c>
      <c r="I108" s="63">
        <f>11000*E2</f>
        <v>726005.5</v>
      </c>
      <c r="J108" s="63">
        <f>12000*E2</f>
        <v>792006</v>
      </c>
      <c r="K108" s="63">
        <f>13000*E2</f>
        <v>858006.5</v>
      </c>
      <c r="L108" s="63">
        <f>14000*E2</f>
        <v>924007</v>
      </c>
      <c r="M108" s="63">
        <f>15000*E2</f>
        <v>990007.5</v>
      </c>
      <c r="N108" s="63">
        <f>16000*E2</f>
        <v>1056008</v>
      </c>
      <c r="O108" s="63">
        <f>17000*E2</f>
        <v>1122008.5</v>
      </c>
      <c r="P108" s="63">
        <f>18000*E2</f>
        <v>1188009</v>
      </c>
      <c r="Q108" s="63">
        <f>19000*E2</f>
        <v>1254009.5</v>
      </c>
      <c r="R108" s="63">
        <f>20000*E2</f>
        <v>1320010</v>
      </c>
      <c r="S108" s="63">
        <f>21000*E2</f>
        <v>1386010.5</v>
      </c>
      <c r="T108" s="63">
        <f>22000*E2</f>
        <v>1452011</v>
      </c>
      <c r="U108" s="63">
        <f>23000*E2</f>
        <v>1518011.5</v>
      </c>
      <c r="V108" s="63">
        <f>24000*E2</f>
        <v>1584012</v>
      </c>
      <c r="W108" s="63">
        <f>25000*E2</f>
        <v>1650012.5</v>
      </c>
      <c r="X108" s="63">
        <f>26000*E2</f>
        <v>1716013</v>
      </c>
      <c r="Y108" s="63">
        <f>27000*E2</f>
        <v>1782013.5</v>
      </c>
      <c r="Z108" s="63">
        <f>28000*E2</f>
        <v>1848014</v>
      </c>
      <c r="AA108" s="53"/>
    </row>
    <row r="109" spans="2:27" x14ac:dyDescent="0.2">
      <c r="B109" s="61">
        <v>1250</v>
      </c>
      <c r="C109" s="62">
        <f>5400*E2</f>
        <v>356402.7</v>
      </c>
      <c r="D109" s="63">
        <f>9000*E2</f>
        <v>594004.5</v>
      </c>
      <c r="E109" s="63">
        <f>9500*E2</f>
        <v>627004.75</v>
      </c>
      <c r="F109" s="63">
        <f>10000*E2</f>
        <v>660005</v>
      </c>
      <c r="G109" s="63">
        <f>10500*E2</f>
        <v>693005.25</v>
      </c>
      <c r="H109" s="63">
        <f>11000*E2</f>
        <v>726005.5</v>
      </c>
      <c r="I109" s="63">
        <f>12000*E2</f>
        <v>792006</v>
      </c>
      <c r="J109" s="63">
        <f>13000*E2</f>
        <v>858006.5</v>
      </c>
      <c r="K109" s="63">
        <f>14000*E2</f>
        <v>924007</v>
      </c>
      <c r="L109" s="63">
        <f>15000*E2</f>
        <v>990007.5</v>
      </c>
      <c r="M109" s="63">
        <f>16000*E2</f>
        <v>1056008</v>
      </c>
      <c r="N109" s="63">
        <f>17000*E2</f>
        <v>1122008.5</v>
      </c>
      <c r="O109" s="63">
        <f>18000*E2</f>
        <v>1188009</v>
      </c>
      <c r="P109" s="63">
        <f>19000*E2</f>
        <v>1254009.5</v>
      </c>
      <c r="Q109" s="63">
        <f>20000*E2</f>
        <v>1320010</v>
      </c>
      <c r="R109" s="63">
        <f>21000*E2</f>
        <v>1386010.5</v>
      </c>
      <c r="S109" s="63">
        <f>22000*E2</f>
        <v>1452011</v>
      </c>
      <c r="T109" s="63">
        <f>23000*E2</f>
        <v>1518011.5</v>
      </c>
      <c r="U109" s="63">
        <f>24000*E2</f>
        <v>1584012</v>
      </c>
      <c r="V109" s="63">
        <f>25000*E2</f>
        <v>1650012.5</v>
      </c>
      <c r="W109" s="63">
        <f>26000*E2</f>
        <v>1716013</v>
      </c>
      <c r="X109" s="63">
        <f>27000*E2</f>
        <v>1782013.5</v>
      </c>
      <c r="Y109" s="63">
        <f>28000*E2</f>
        <v>1848014</v>
      </c>
      <c r="Z109" s="63">
        <f>29000*E2</f>
        <v>1914014.5</v>
      </c>
      <c r="AA109" s="53"/>
    </row>
    <row r="110" spans="2:27" x14ac:dyDescent="0.2">
      <c r="B110" s="61">
        <v>1500</v>
      </c>
      <c r="C110" s="62">
        <f>6000*E2</f>
        <v>396003</v>
      </c>
      <c r="D110" s="63">
        <f>10000*E2</f>
        <v>660005</v>
      </c>
      <c r="E110" s="63">
        <f>10500*E2</f>
        <v>693005.25</v>
      </c>
      <c r="F110" s="63">
        <f>11000*E2</f>
        <v>726005.5</v>
      </c>
      <c r="G110" s="63">
        <f>11500*E2</f>
        <v>759005.75</v>
      </c>
      <c r="H110" s="63">
        <f>12000*E2</f>
        <v>792006</v>
      </c>
      <c r="I110" s="63">
        <f>13000*E2</f>
        <v>858006.5</v>
      </c>
      <c r="J110" s="63">
        <f>14000*E2</f>
        <v>924007</v>
      </c>
      <c r="K110" s="63">
        <f>15000*E2</f>
        <v>990007.5</v>
      </c>
      <c r="L110" s="63">
        <f>16000*E2</f>
        <v>1056008</v>
      </c>
      <c r="M110" s="63">
        <f>17000*E2</f>
        <v>1122008.5</v>
      </c>
      <c r="N110" s="63">
        <f>18000*E2</f>
        <v>1188009</v>
      </c>
      <c r="O110" s="63">
        <f>19000*E2</f>
        <v>1254009.5</v>
      </c>
      <c r="P110" s="63">
        <f>20000*E2</f>
        <v>1320010</v>
      </c>
      <c r="Q110" s="63">
        <f>21000*E2</f>
        <v>1386010.5</v>
      </c>
      <c r="R110" s="63">
        <f>22000*E2</f>
        <v>1452011</v>
      </c>
      <c r="S110" s="63">
        <f>23000*E2</f>
        <v>1518011.5</v>
      </c>
      <c r="T110" s="63">
        <f>24000*E2</f>
        <v>1584012</v>
      </c>
      <c r="U110" s="63">
        <f>25000*E2</f>
        <v>1650012.5</v>
      </c>
      <c r="V110" s="63">
        <f>26000*E2</f>
        <v>1716013</v>
      </c>
      <c r="W110" s="63">
        <f>27000*E2</f>
        <v>1782013.5</v>
      </c>
      <c r="X110" s="63">
        <f>28000*E2</f>
        <v>1848014</v>
      </c>
      <c r="Y110" s="63">
        <f>29000*E2</f>
        <v>1914014.5</v>
      </c>
      <c r="Z110" s="63">
        <f>30000*E2</f>
        <v>1980015</v>
      </c>
      <c r="AA110" s="53"/>
    </row>
    <row r="111" spans="2:27" x14ac:dyDescent="0.2">
      <c r="B111" s="61">
        <v>1750</v>
      </c>
      <c r="C111" s="62">
        <f>6600*E2</f>
        <v>435603.3</v>
      </c>
      <c r="D111" s="63">
        <f>11000*E2</f>
        <v>726005.5</v>
      </c>
      <c r="E111" s="63">
        <f>11500*E2</f>
        <v>759005.75</v>
      </c>
      <c r="F111" s="63">
        <f>12000*E2</f>
        <v>792006</v>
      </c>
      <c r="G111" s="63">
        <f>12500*E2</f>
        <v>825006.25</v>
      </c>
      <c r="H111" s="63">
        <f>13000*E2</f>
        <v>858006.5</v>
      </c>
      <c r="I111" s="63">
        <f>14000*E2</f>
        <v>924007</v>
      </c>
      <c r="J111" s="63">
        <f>15000*E2</f>
        <v>990007.5</v>
      </c>
      <c r="K111" s="63">
        <f>16000*E2</f>
        <v>1056008</v>
      </c>
      <c r="L111" s="63">
        <f>17000*E2</f>
        <v>1122008.5</v>
      </c>
      <c r="M111" s="63">
        <f>18000*E2</f>
        <v>1188009</v>
      </c>
      <c r="N111" s="63">
        <f>19000*E2</f>
        <v>1254009.5</v>
      </c>
      <c r="O111" s="63">
        <f>20000*E2</f>
        <v>1320010</v>
      </c>
      <c r="P111" s="63">
        <f>21000*E2</f>
        <v>1386010.5</v>
      </c>
      <c r="Q111" s="63">
        <f>21000*E2</f>
        <v>1386010.5</v>
      </c>
      <c r="R111" s="63">
        <f>23000*E2</f>
        <v>1518011.5</v>
      </c>
      <c r="S111" s="63">
        <f>24000*E2</f>
        <v>1584012</v>
      </c>
      <c r="T111" s="63">
        <f>25000*E2</f>
        <v>1650012.5</v>
      </c>
      <c r="U111" s="63">
        <f>26000*E2</f>
        <v>1716013</v>
      </c>
      <c r="V111" s="63">
        <f>27000*E2</f>
        <v>1782013.5</v>
      </c>
      <c r="W111" s="63">
        <f>28000*E2</f>
        <v>1848014</v>
      </c>
      <c r="X111" s="63">
        <f>29000*E2</f>
        <v>1914014.5</v>
      </c>
      <c r="Y111" s="63">
        <f>30000*E2</f>
        <v>1980015</v>
      </c>
      <c r="Z111" s="63">
        <f>31000*E2</f>
        <v>2046015.5</v>
      </c>
      <c r="AA111" s="53"/>
    </row>
    <row r="112" spans="2:27" x14ac:dyDescent="0.2">
      <c r="B112" s="61">
        <v>2000</v>
      </c>
      <c r="C112" s="62">
        <f>7200*E2</f>
        <v>475203.60000000003</v>
      </c>
      <c r="D112" s="63">
        <f>12000*E2</f>
        <v>792006</v>
      </c>
      <c r="E112" s="63">
        <f>12500*E2</f>
        <v>825006.25</v>
      </c>
      <c r="F112" s="63">
        <f>13000*E2</f>
        <v>858006.5</v>
      </c>
      <c r="G112" s="63">
        <f>13500*E2</f>
        <v>891006.75</v>
      </c>
      <c r="H112" s="63">
        <f>14000*E2</f>
        <v>924007</v>
      </c>
      <c r="I112" s="63">
        <f>15000*E2</f>
        <v>990007.5</v>
      </c>
      <c r="J112" s="63">
        <f>16000*E2</f>
        <v>1056008</v>
      </c>
      <c r="K112" s="63">
        <f>17000*E2</f>
        <v>1122008.5</v>
      </c>
      <c r="L112" s="63">
        <f>18000*E2</f>
        <v>1188009</v>
      </c>
      <c r="M112" s="63">
        <f>19000*E2</f>
        <v>1254009.5</v>
      </c>
      <c r="N112" s="63">
        <f>20000*E2</f>
        <v>1320010</v>
      </c>
      <c r="O112" s="63">
        <f>21000*E2</f>
        <v>1386010.5</v>
      </c>
      <c r="P112" s="63">
        <f>22000*E2</f>
        <v>1452011</v>
      </c>
      <c r="Q112" s="63">
        <f>23000*E2</f>
        <v>1518011.5</v>
      </c>
      <c r="R112" s="63">
        <f>24000*E2</f>
        <v>1584012</v>
      </c>
      <c r="S112" s="63">
        <f>25000*E2</f>
        <v>1650012.5</v>
      </c>
      <c r="T112" s="63">
        <f>26000*E2</f>
        <v>1716013</v>
      </c>
      <c r="U112" s="63">
        <f>27000*E2</f>
        <v>1782013.5</v>
      </c>
      <c r="V112" s="63">
        <f>28000*E2</f>
        <v>1848014</v>
      </c>
      <c r="W112" s="63">
        <f>29000*E2</f>
        <v>1914014.5</v>
      </c>
      <c r="X112" s="63">
        <f>30000*E2</f>
        <v>1980015</v>
      </c>
      <c r="Y112" s="63">
        <f>31000*E2</f>
        <v>2046015.5</v>
      </c>
      <c r="Z112" s="63">
        <f>32000*E2</f>
        <v>2112016</v>
      </c>
      <c r="AA112" s="53"/>
    </row>
    <row r="113" spans="2:27" x14ac:dyDescent="0.2">
      <c r="B113" s="61">
        <v>2300</v>
      </c>
      <c r="C113" s="62">
        <f>7800*E2</f>
        <v>514803.9</v>
      </c>
      <c r="D113" s="63">
        <f>13000*E2</f>
        <v>858006.5</v>
      </c>
      <c r="E113" s="63">
        <f>13500*E2</f>
        <v>891006.75</v>
      </c>
      <c r="F113" s="63">
        <f>14000*E2</f>
        <v>924007</v>
      </c>
      <c r="G113" s="63">
        <f>14500*E2</f>
        <v>957007.25</v>
      </c>
      <c r="H113" s="63">
        <f>15000*E2</f>
        <v>990007.5</v>
      </c>
      <c r="I113" s="63">
        <f>16000*E2</f>
        <v>1056008</v>
      </c>
      <c r="J113" s="63">
        <f>17000*E2</f>
        <v>1122008.5</v>
      </c>
      <c r="K113" s="63">
        <f>18000*E2</f>
        <v>1188009</v>
      </c>
      <c r="L113" s="63">
        <f>19000*E2</f>
        <v>1254009.5</v>
      </c>
      <c r="M113" s="63">
        <f>20000*E2</f>
        <v>1320010</v>
      </c>
      <c r="N113" s="63">
        <f>21000*E2</f>
        <v>1386010.5</v>
      </c>
      <c r="O113" s="63">
        <f>22000*E2</f>
        <v>1452011</v>
      </c>
      <c r="P113" s="63">
        <f>23000*E2</f>
        <v>1518011.5</v>
      </c>
      <c r="Q113" s="63">
        <f>24000*E2</f>
        <v>1584012</v>
      </c>
      <c r="R113" s="63">
        <f>25000*E2</f>
        <v>1650012.5</v>
      </c>
      <c r="S113" s="63">
        <f>26000*E2</f>
        <v>1716013</v>
      </c>
      <c r="T113" s="63">
        <f>27000*E2</f>
        <v>1782013.5</v>
      </c>
      <c r="U113" s="63">
        <f>28000*E2</f>
        <v>1848014</v>
      </c>
      <c r="V113" s="63">
        <f>29000*E2</f>
        <v>1914014.5</v>
      </c>
      <c r="W113" s="63">
        <f>30000*E2</f>
        <v>1980015</v>
      </c>
      <c r="X113" s="63">
        <f>31000*E2</f>
        <v>2046015.5</v>
      </c>
      <c r="Y113" s="63">
        <f>32000*E2</f>
        <v>2112016</v>
      </c>
      <c r="Z113" s="63">
        <f>33000*E2</f>
        <v>2178016.5</v>
      </c>
      <c r="AA113" s="53"/>
    </row>
    <row r="114" spans="2:27" x14ac:dyDescent="0.2">
      <c r="B114" s="61">
        <v>2600</v>
      </c>
      <c r="C114" s="62">
        <f>8400*E2</f>
        <v>554404.20000000007</v>
      </c>
      <c r="D114" s="63">
        <f>14000*E2</f>
        <v>924007</v>
      </c>
      <c r="E114" s="63">
        <f>14500*E2</f>
        <v>957007.25</v>
      </c>
      <c r="F114" s="63">
        <f>15000*E2</f>
        <v>990007.5</v>
      </c>
      <c r="G114" s="63">
        <f>15500*E2</f>
        <v>1023007.75</v>
      </c>
      <c r="H114" s="63">
        <f>16000*E2</f>
        <v>1056008</v>
      </c>
      <c r="I114" s="63">
        <f>17000*E2</f>
        <v>1122008.5</v>
      </c>
      <c r="J114" s="63">
        <f>18000*E2</f>
        <v>1188009</v>
      </c>
      <c r="K114" s="63">
        <f>19000*E2</f>
        <v>1254009.5</v>
      </c>
      <c r="L114" s="63">
        <f>20000*E2</f>
        <v>1320010</v>
      </c>
      <c r="M114" s="63">
        <f>21000*E2</f>
        <v>1386010.5</v>
      </c>
      <c r="N114" s="63">
        <f>22000*E2</f>
        <v>1452011</v>
      </c>
      <c r="O114" s="63">
        <f>23000*E2</f>
        <v>1518011.5</v>
      </c>
      <c r="P114" s="63">
        <f>24000*E2</f>
        <v>1584012</v>
      </c>
      <c r="Q114" s="63">
        <f>25000*E2</f>
        <v>1650012.5</v>
      </c>
      <c r="R114" s="63">
        <f>26000*E2</f>
        <v>1716013</v>
      </c>
      <c r="S114" s="63">
        <f>27000*E2</f>
        <v>1782013.5</v>
      </c>
      <c r="T114" s="63">
        <f>28000*E2</f>
        <v>1848014</v>
      </c>
      <c r="U114" s="63">
        <f>29000*E2</f>
        <v>1914014.5</v>
      </c>
      <c r="V114" s="63">
        <f>30000*E2</f>
        <v>1980015</v>
      </c>
      <c r="W114" s="63">
        <f>31000*E2</f>
        <v>2046015.5</v>
      </c>
      <c r="X114" s="63">
        <f>32000*E2</f>
        <v>2112016</v>
      </c>
      <c r="Y114" s="63">
        <f>33000*E2</f>
        <v>2178016.5</v>
      </c>
      <c r="Z114" s="63">
        <f>34000*E2</f>
        <v>2244017</v>
      </c>
      <c r="AA114" s="53"/>
    </row>
    <row r="115" spans="2:27" x14ac:dyDescent="0.2">
      <c r="B115" s="61">
        <v>3000</v>
      </c>
      <c r="C115" s="62">
        <f>9000*E2</f>
        <v>594004.5</v>
      </c>
      <c r="D115" s="63">
        <f>15000*E2</f>
        <v>990007.5</v>
      </c>
      <c r="E115" s="63">
        <f>15500*E2</f>
        <v>1023007.75</v>
      </c>
      <c r="F115" s="63">
        <f>16000*E2</f>
        <v>1056008</v>
      </c>
      <c r="G115" s="63">
        <f>16500*E2</f>
        <v>1089008.25</v>
      </c>
      <c r="H115" s="63">
        <f>17000*E2</f>
        <v>1122008.5</v>
      </c>
      <c r="I115" s="63">
        <f>18000*E2</f>
        <v>1188009</v>
      </c>
      <c r="J115" s="63">
        <f>19000*E2</f>
        <v>1254009.5</v>
      </c>
      <c r="K115" s="63">
        <f>20000*E2</f>
        <v>1320010</v>
      </c>
      <c r="L115" s="63">
        <f>21000*E2</f>
        <v>1386010.5</v>
      </c>
      <c r="M115" s="63">
        <f>22000*E2</f>
        <v>1452011</v>
      </c>
      <c r="N115" s="63">
        <f>23000*E2</f>
        <v>1518011.5</v>
      </c>
      <c r="O115" s="63">
        <f>24000*E2</f>
        <v>1584012</v>
      </c>
      <c r="P115" s="63">
        <f>25000*E2</f>
        <v>1650012.5</v>
      </c>
      <c r="Q115" s="63">
        <f>26000*E2</f>
        <v>1716013</v>
      </c>
      <c r="R115" s="63">
        <f>27000*E2</f>
        <v>1782013.5</v>
      </c>
      <c r="S115" s="63">
        <f>28000*E2</f>
        <v>1848014</v>
      </c>
      <c r="T115" s="63">
        <f>29000*E2</f>
        <v>1914014.5</v>
      </c>
      <c r="U115" s="63">
        <f>30000*E2</f>
        <v>1980015</v>
      </c>
      <c r="V115" s="63">
        <f>31000*E2</f>
        <v>2046015.5</v>
      </c>
      <c r="W115" s="63">
        <f>32000*E2</f>
        <v>2112016</v>
      </c>
      <c r="X115" s="63">
        <f>33000*E2</f>
        <v>2178016.5</v>
      </c>
      <c r="Y115" s="63">
        <f>34000*E2</f>
        <v>2244017</v>
      </c>
      <c r="Z115" s="63">
        <f>35000*E2</f>
        <v>2310017.5</v>
      </c>
      <c r="AA115" s="53"/>
    </row>
    <row r="116" spans="2:27" x14ac:dyDescent="0.2">
      <c r="B116" s="61">
        <v>3400</v>
      </c>
      <c r="C116" s="62">
        <f>9600*E2</f>
        <v>633604.80000000005</v>
      </c>
      <c r="D116" s="63">
        <f>16000*E2</f>
        <v>1056008</v>
      </c>
      <c r="E116" s="63">
        <f>16500*E2</f>
        <v>1089008.25</v>
      </c>
      <c r="F116" s="63">
        <f>17000*E2</f>
        <v>1122008.5</v>
      </c>
      <c r="G116" s="63">
        <f>17500*E2</f>
        <v>1155008.75</v>
      </c>
      <c r="H116" s="63">
        <f>18000*E2</f>
        <v>1188009</v>
      </c>
      <c r="I116" s="63">
        <f>19000*E2</f>
        <v>1254009.5</v>
      </c>
      <c r="J116" s="63">
        <f>20000*E2</f>
        <v>1320010</v>
      </c>
      <c r="K116" s="63">
        <f>21000*E2</f>
        <v>1386010.5</v>
      </c>
      <c r="L116" s="63">
        <f>22000*E2</f>
        <v>1452011</v>
      </c>
      <c r="M116" s="63">
        <f>23000*E2</f>
        <v>1518011.5</v>
      </c>
      <c r="N116" s="63">
        <f>24000*E2</f>
        <v>1584012</v>
      </c>
      <c r="O116" s="63">
        <f>25000*E2</f>
        <v>1650012.5</v>
      </c>
      <c r="P116" s="63">
        <f>26000*E2</f>
        <v>1716013</v>
      </c>
      <c r="Q116" s="63">
        <f>27000*E2</f>
        <v>1782013.5</v>
      </c>
      <c r="R116" s="63">
        <f>28000*E2</f>
        <v>1848014</v>
      </c>
      <c r="S116" s="63">
        <f>29000*E2</f>
        <v>1914014.5</v>
      </c>
      <c r="T116" s="63">
        <f>30000*E2</f>
        <v>1980015</v>
      </c>
      <c r="U116" s="63">
        <f>31000*E2</f>
        <v>2046015.5</v>
      </c>
      <c r="V116" s="63">
        <f>32000*E2</f>
        <v>2112016</v>
      </c>
      <c r="W116" s="63">
        <f>33000*E2</f>
        <v>2178016.5</v>
      </c>
      <c r="X116" s="63">
        <f>34000*E2</f>
        <v>2244017</v>
      </c>
      <c r="Y116" s="63">
        <f>35000*E2</f>
        <v>2310017.5</v>
      </c>
      <c r="Z116" s="63">
        <f>36000*E2</f>
        <v>2376018</v>
      </c>
      <c r="AA116" s="53"/>
    </row>
    <row r="117" spans="2:27" x14ac:dyDescent="0.2">
      <c r="B117" s="61">
        <v>3800</v>
      </c>
      <c r="C117" s="62">
        <f>10200*E2</f>
        <v>673205.1</v>
      </c>
      <c r="D117" s="63">
        <f>17000*E2</f>
        <v>1122008.5</v>
      </c>
      <c r="E117" s="63">
        <f>17500*E2</f>
        <v>1155008.75</v>
      </c>
      <c r="F117" s="63">
        <f>18000*E2</f>
        <v>1188009</v>
      </c>
      <c r="G117" s="63">
        <f>18500*E2</f>
        <v>1221009.25</v>
      </c>
      <c r="H117" s="63">
        <f>19000*E2</f>
        <v>1254009.5</v>
      </c>
      <c r="I117" s="63">
        <f>20000*E2</f>
        <v>1320010</v>
      </c>
      <c r="J117" s="63">
        <f>21000*E2</f>
        <v>1386010.5</v>
      </c>
      <c r="K117" s="63">
        <f>22000*E2</f>
        <v>1452011</v>
      </c>
      <c r="L117" s="63">
        <f>23000*E2</f>
        <v>1518011.5</v>
      </c>
      <c r="M117" s="63">
        <f>24000*E2</f>
        <v>1584012</v>
      </c>
      <c r="N117" s="63">
        <f>25000*E2</f>
        <v>1650012.5</v>
      </c>
      <c r="O117" s="63">
        <f>26000*E2</f>
        <v>1716013</v>
      </c>
      <c r="P117" s="63">
        <f>27000*E2</f>
        <v>1782013.5</v>
      </c>
      <c r="Q117" s="63">
        <f>28000*E2</f>
        <v>1848014</v>
      </c>
      <c r="R117" s="63">
        <f>29000*E2</f>
        <v>1914014.5</v>
      </c>
      <c r="S117" s="63">
        <f>30000*E2</f>
        <v>1980015</v>
      </c>
      <c r="T117" s="63">
        <f>31000*E2</f>
        <v>2046015.5</v>
      </c>
      <c r="U117" s="63">
        <f>32000*E2</f>
        <v>2112016</v>
      </c>
      <c r="V117" s="63">
        <f>33000*E2</f>
        <v>2178016.5</v>
      </c>
      <c r="W117" s="63">
        <f>34000*E2</f>
        <v>2244017</v>
      </c>
      <c r="X117" s="63">
        <f>35000*E2</f>
        <v>2310017.5</v>
      </c>
      <c r="Y117" s="63">
        <f>36000*E2</f>
        <v>2376018</v>
      </c>
      <c r="Z117" s="63">
        <f>37000*E2</f>
        <v>2442018.5</v>
      </c>
      <c r="AA117" s="53"/>
    </row>
    <row r="118" spans="2:27" x14ac:dyDescent="0.2">
      <c r="B118" s="61">
        <v>4200</v>
      </c>
      <c r="C118" s="62">
        <f>10800*E2</f>
        <v>712805.4</v>
      </c>
      <c r="D118" s="63">
        <f>18000*E2</f>
        <v>1188009</v>
      </c>
      <c r="E118" s="63">
        <f>18500*E2</f>
        <v>1221009.25</v>
      </c>
      <c r="F118" s="63">
        <f>19000*E2</f>
        <v>1254009.5</v>
      </c>
      <c r="G118" s="63">
        <f>19500*E2</f>
        <v>1287009.75</v>
      </c>
      <c r="H118" s="63">
        <f>20000*E2</f>
        <v>1320010</v>
      </c>
      <c r="I118" s="63">
        <f>21000*E2</f>
        <v>1386010.5</v>
      </c>
      <c r="J118" s="63">
        <f>22000*E2</f>
        <v>1452011</v>
      </c>
      <c r="K118" s="63">
        <f>23000*E2</f>
        <v>1518011.5</v>
      </c>
      <c r="L118" s="63">
        <f>24000*E2</f>
        <v>1584012</v>
      </c>
      <c r="M118" s="63">
        <f>25000*E2</f>
        <v>1650012.5</v>
      </c>
      <c r="N118" s="63">
        <f>26000*E2</f>
        <v>1716013</v>
      </c>
      <c r="O118" s="63">
        <f>27000*E2</f>
        <v>1782013.5</v>
      </c>
      <c r="P118" s="63">
        <f>28000*E2</f>
        <v>1848014</v>
      </c>
      <c r="Q118" s="63">
        <f>29000*E2</f>
        <v>1914014.5</v>
      </c>
      <c r="R118" s="63">
        <f>30000*E2</f>
        <v>1980015</v>
      </c>
      <c r="S118" s="63">
        <f>31000*E2</f>
        <v>2046015.5</v>
      </c>
      <c r="T118" s="63">
        <f>32000*E2</f>
        <v>2112016</v>
      </c>
      <c r="U118" s="63">
        <f>33000*E2</f>
        <v>2178016.5</v>
      </c>
      <c r="V118" s="63">
        <f>34000*E2</f>
        <v>2244017</v>
      </c>
      <c r="W118" s="63">
        <f>35000*E2</f>
        <v>2310017.5</v>
      </c>
      <c r="X118" s="63">
        <f>36000*E2</f>
        <v>2376018</v>
      </c>
      <c r="Y118" s="63">
        <f>37000*E2</f>
        <v>2442018.5</v>
      </c>
      <c r="Z118" s="63">
        <f>38000*E2</f>
        <v>2508019</v>
      </c>
      <c r="AA118" s="53"/>
    </row>
    <row r="119" spans="2:27" x14ac:dyDescent="0.2">
      <c r="B119" s="61">
        <v>4600</v>
      </c>
      <c r="C119" s="62">
        <f>11400*E2</f>
        <v>752405.70000000007</v>
      </c>
      <c r="D119" s="63">
        <f>19000*E2</f>
        <v>1254009.5</v>
      </c>
      <c r="E119" s="63">
        <f>19500*E2</f>
        <v>1287009.75</v>
      </c>
      <c r="F119" s="63">
        <f>20000*E2</f>
        <v>1320010</v>
      </c>
      <c r="G119" s="63">
        <f>20500*E2</f>
        <v>1353010.25</v>
      </c>
      <c r="H119" s="63">
        <f>21000*E2</f>
        <v>1386010.5</v>
      </c>
      <c r="I119" s="63">
        <f>22000*E2</f>
        <v>1452011</v>
      </c>
      <c r="J119" s="63">
        <f>23000*E2</f>
        <v>1518011.5</v>
      </c>
      <c r="K119" s="63">
        <f>24000*E2</f>
        <v>1584012</v>
      </c>
      <c r="L119" s="63">
        <f>25000*E2</f>
        <v>1650012.5</v>
      </c>
      <c r="M119" s="63">
        <f>26000*E2</f>
        <v>1716013</v>
      </c>
      <c r="N119" s="63">
        <f>27000*E2</f>
        <v>1782013.5</v>
      </c>
      <c r="O119" s="63">
        <f>28000*E2</f>
        <v>1848014</v>
      </c>
      <c r="P119" s="63">
        <f>29000*E2</f>
        <v>1914014.5</v>
      </c>
      <c r="Q119" s="63">
        <f>30000*E2</f>
        <v>1980015</v>
      </c>
      <c r="R119" s="63">
        <f>31000*E2</f>
        <v>2046015.5</v>
      </c>
      <c r="S119" s="63">
        <f>32000*E2</f>
        <v>2112016</v>
      </c>
      <c r="T119" s="63">
        <f>33000*E2</f>
        <v>2178016.5</v>
      </c>
      <c r="U119" s="63">
        <f>34000*E2</f>
        <v>2244017</v>
      </c>
      <c r="V119" s="63">
        <f>35000*E2</f>
        <v>2310017.5</v>
      </c>
      <c r="W119" s="63">
        <f>36000*E2</f>
        <v>2376018</v>
      </c>
      <c r="X119" s="63">
        <f>37000*E2</f>
        <v>2442018.5</v>
      </c>
      <c r="Y119" s="63">
        <f>38000*E2</f>
        <v>2508019</v>
      </c>
      <c r="Z119" s="63">
        <f>39000*E2</f>
        <v>2574019.5</v>
      </c>
      <c r="AA119" s="53"/>
    </row>
    <row r="120" spans="2:27" x14ac:dyDescent="0.2">
      <c r="B120" s="61">
        <v>5000</v>
      </c>
      <c r="C120" s="62">
        <f>12000*E2</f>
        <v>792006</v>
      </c>
      <c r="D120" s="63">
        <f>20000*E2</f>
        <v>1320010</v>
      </c>
      <c r="E120" s="63">
        <f>20500*E2</f>
        <v>1353010.25</v>
      </c>
      <c r="F120" s="63">
        <f>21000*E2</f>
        <v>1386010.5</v>
      </c>
      <c r="G120" s="63">
        <f>21500*E2</f>
        <v>1419010.75</v>
      </c>
      <c r="H120" s="63">
        <f>22000*E2</f>
        <v>1452011</v>
      </c>
      <c r="I120" s="63">
        <f>23000*E2</f>
        <v>1518011.5</v>
      </c>
      <c r="J120" s="63">
        <f>24000*E2</f>
        <v>1584012</v>
      </c>
      <c r="K120" s="63">
        <f>25000*E2</f>
        <v>1650012.5</v>
      </c>
      <c r="L120" s="63">
        <f>26000*E2</f>
        <v>1716013</v>
      </c>
      <c r="M120" s="63">
        <f>27000*E2</f>
        <v>1782013.5</v>
      </c>
      <c r="N120" s="63">
        <f>28000*E2</f>
        <v>1848014</v>
      </c>
      <c r="O120" s="63">
        <f>29000*E2</f>
        <v>1914014.5</v>
      </c>
      <c r="P120" s="63">
        <f>30000*E2</f>
        <v>1980015</v>
      </c>
      <c r="Q120" s="63">
        <f>31000*E2</f>
        <v>2046015.5</v>
      </c>
      <c r="R120" s="63">
        <f>32000*E2</f>
        <v>2112016</v>
      </c>
      <c r="S120" s="63">
        <f>33000*E2</f>
        <v>2178016.5</v>
      </c>
      <c r="T120" s="63">
        <f>34000*E2</f>
        <v>2244017</v>
      </c>
      <c r="U120" s="63">
        <f>35000*E2</f>
        <v>2310017.5</v>
      </c>
      <c r="V120" s="63">
        <f>36000*E2</f>
        <v>2376018</v>
      </c>
      <c r="W120" s="63">
        <f>37000*E2</f>
        <v>2442018.5</v>
      </c>
      <c r="X120" s="63">
        <f>38000*E2</f>
        <v>2508019</v>
      </c>
      <c r="Y120" s="63">
        <f>39000*E2</f>
        <v>2574019.5</v>
      </c>
      <c r="Z120" s="63">
        <f>40000*E2</f>
        <v>2640020</v>
      </c>
      <c r="AA120" s="53"/>
    </row>
    <row r="121" spans="2:27" x14ac:dyDescent="0.2">
      <c r="B121" s="64"/>
      <c r="AA121" s="53"/>
    </row>
    <row r="122" spans="2:27" x14ac:dyDescent="0.2">
      <c r="B122" s="64"/>
      <c r="C122" s="1" t="s">
        <v>40</v>
      </c>
      <c r="E122" s="55">
        <f>Z91</f>
        <v>99000750</v>
      </c>
      <c r="F122" s="1" t="s">
        <v>41</v>
      </c>
      <c r="J122" s="54"/>
      <c r="AA122" s="53"/>
    </row>
    <row r="123" spans="2:27" x14ac:dyDescent="0.2">
      <c r="B123" s="65"/>
      <c r="C123" s="1" t="s">
        <v>42</v>
      </c>
      <c r="F123" s="66">
        <f>200*E2</f>
        <v>13200.1</v>
      </c>
      <c r="H123" s="67"/>
      <c r="AA123" s="53"/>
    </row>
    <row r="124" spans="2:27" x14ac:dyDescent="0.2"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70"/>
    </row>
    <row r="128" spans="2:27" ht="15.75" x14ac:dyDescent="0.25">
      <c r="K128" s="52"/>
      <c r="L128" s="52"/>
      <c r="M128" s="52"/>
      <c r="N128" s="52"/>
    </row>
  </sheetData>
  <mergeCells count="35">
    <mergeCell ref="J14:K14"/>
    <mergeCell ref="L14:M14"/>
    <mergeCell ref="B2:D2"/>
    <mergeCell ref="B4:M4"/>
    <mergeCell ref="B5:C5"/>
    <mergeCell ref="D5:E5"/>
    <mergeCell ref="F5:G5"/>
    <mergeCell ref="H5:I5"/>
    <mergeCell ref="J5:K5"/>
    <mergeCell ref="L5:M5"/>
    <mergeCell ref="B14:C14"/>
    <mergeCell ref="D14:E14"/>
    <mergeCell ref="F14:G14"/>
    <mergeCell ref="H14:I14"/>
    <mergeCell ref="B60:E60"/>
    <mergeCell ref="B62:C62"/>
    <mergeCell ref="D62:E62"/>
    <mergeCell ref="B24:E24"/>
    <mergeCell ref="B25:C25"/>
    <mergeCell ref="D25:E25"/>
    <mergeCell ref="B37:E37"/>
    <mergeCell ref="B38:C38"/>
    <mergeCell ref="D38:E38"/>
    <mergeCell ref="B50:G50"/>
    <mergeCell ref="B51:C51"/>
    <mergeCell ref="D51:E51"/>
    <mergeCell ref="F51:G51"/>
    <mergeCell ref="B84:B85"/>
    <mergeCell ref="B88:B91"/>
    <mergeCell ref="B71:E71"/>
    <mergeCell ref="B72:C72"/>
    <mergeCell ref="D72:E72"/>
    <mergeCell ref="B81:E81"/>
    <mergeCell ref="C82:D82"/>
    <mergeCell ref="C83:D83"/>
  </mergeCells>
  <phoneticPr fontId="0" type="noConversion"/>
  <pageMargins left="0.25" right="0.75" top="0.6" bottom="1" header="0.51181102362204722" footer="0.51181102362204722"/>
  <pageSetup paperSize="9" scale="9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2956D-829C-49A6-A19B-3D346B669971}">
  <sheetPr codeName="Hoja3"/>
  <dimension ref="A1:V132"/>
  <sheetViews>
    <sheetView topLeftCell="A10" zoomScale="140" zoomScaleNormal="140" workbookViewId="0">
      <selection activeCell="A22" sqref="A22:XFD22"/>
    </sheetView>
  </sheetViews>
  <sheetFormatPr baseColWidth="10" defaultColWidth="11.42578125" defaultRowHeight="12.75" x14ac:dyDescent="0.2"/>
  <cols>
    <col min="1" max="1" width="15.28515625" style="1" customWidth="1"/>
    <col min="2" max="2" width="41.42578125" style="1" customWidth="1"/>
    <col min="3" max="3" width="17.7109375" style="1" customWidth="1"/>
    <col min="4" max="4" width="18" style="1" customWidth="1"/>
    <col min="5" max="5" width="17.5703125" style="1" customWidth="1"/>
    <col min="6" max="6" width="17.42578125" style="1" customWidth="1"/>
    <col min="7" max="7" width="15.140625" style="1" customWidth="1"/>
    <col min="8" max="8" width="31.85546875" style="1" customWidth="1"/>
    <col min="9" max="9" width="35.7109375" style="1" customWidth="1"/>
    <col min="10" max="10" width="17.140625" style="1" customWidth="1"/>
    <col min="11" max="11" width="16.85546875" style="1" customWidth="1"/>
    <col min="12" max="12" width="17.28515625" style="1" customWidth="1"/>
    <col min="13" max="13" width="16.28515625" style="1" customWidth="1"/>
    <col min="14" max="14" width="16.85546875" style="1" customWidth="1"/>
    <col min="15" max="17" width="11.42578125" style="1"/>
    <col min="18" max="18" width="17.7109375" style="1" customWidth="1"/>
    <col min="19" max="19" width="15.42578125" style="1" customWidth="1"/>
    <col min="20" max="16384" width="11.42578125" style="1"/>
  </cols>
  <sheetData>
    <row r="1" spans="1:22" x14ac:dyDescent="0.2">
      <c r="B1" s="220" t="s">
        <v>43</v>
      </c>
      <c r="C1" s="221"/>
      <c r="D1" s="221"/>
      <c r="F1" s="220" t="s">
        <v>374</v>
      </c>
    </row>
    <row r="2" spans="1:22" x14ac:dyDescent="0.2">
      <c r="F2" s="220" t="s">
        <v>380</v>
      </c>
    </row>
    <row r="3" spans="1:22" ht="16.5" x14ac:dyDescent="0.3">
      <c r="B3" s="270" t="s">
        <v>44</v>
      </c>
      <c r="C3" s="270"/>
      <c r="D3" s="270"/>
      <c r="E3" s="270"/>
      <c r="F3" s="149" t="s">
        <v>45</v>
      </c>
      <c r="G3" s="222">
        <v>33.33</v>
      </c>
    </row>
    <row r="4" spans="1:22" x14ac:dyDescent="0.2">
      <c r="G4" s="150"/>
      <c r="K4" s="151" t="s">
        <v>46</v>
      </c>
      <c r="L4" s="152" t="s">
        <v>47</v>
      </c>
      <c r="M4" s="152" t="s">
        <v>48</v>
      </c>
      <c r="N4" s="152" t="s">
        <v>49</v>
      </c>
    </row>
    <row r="5" spans="1:22" x14ac:dyDescent="0.2">
      <c r="B5" s="223" t="s">
        <v>50</v>
      </c>
      <c r="C5" s="153">
        <v>1200000</v>
      </c>
      <c r="D5" s="152" t="s">
        <v>47</v>
      </c>
      <c r="E5" s="152" t="s">
        <v>48</v>
      </c>
      <c r="F5" s="154" t="s">
        <v>49</v>
      </c>
      <c r="G5" s="150" t="s">
        <v>51</v>
      </c>
      <c r="J5" s="155">
        <f>ROUND(9611*C8,0)</f>
        <v>634331</v>
      </c>
    </row>
    <row r="6" spans="1:22" x14ac:dyDescent="0.2">
      <c r="B6" s="223" t="s">
        <v>52</v>
      </c>
      <c r="C6" s="156">
        <f>5000*C8</f>
        <v>330002.5</v>
      </c>
      <c r="E6" s="157"/>
      <c r="G6" s="150" t="s">
        <v>53</v>
      </c>
      <c r="J6" s="158"/>
      <c r="S6" s="155"/>
    </row>
    <row r="7" spans="1:22" x14ac:dyDescent="0.2">
      <c r="B7" s="73" t="s">
        <v>54</v>
      </c>
      <c r="C7" s="159">
        <v>1</v>
      </c>
      <c r="E7" s="160"/>
      <c r="G7" s="150" t="s">
        <v>55</v>
      </c>
      <c r="J7" s="155">
        <f>ROUND(34320*C8,0)</f>
        <v>2265137</v>
      </c>
      <c r="K7" s="221">
        <f>A13</f>
        <v>1634286</v>
      </c>
      <c r="L7" s="224">
        <f>D13</f>
        <v>163429</v>
      </c>
      <c r="M7" s="224">
        <f>L7</f>
        <v>163429</v>
      </c>
      <c r="N7" s="224">
        <f>F13</f>
        <v>98056</v>
      </c>
      <c r="O7" s="93">
        <f>K7+L7+M7+N7</f>
        <v>2059200</v>
      </c>
      <c r="S7" s="155"/>
    </row>
    <row r="8" spans="1:22" x14ac:dyDescent="0.2">
      <c r="B8" s="223" t="s">
        <v>56</v>
      </c>
      <c r="C8" s="161">
        <v>66.000500000000002</v>
      </c>
      <c r="E8" s="160"/>
      <c r="G8" s="150" t="s">
        <v>57</v>
      </c>
      <c r="J8" s="155">
        <f>J5</f>
        <v>634331</v>
      </c>
      <c r="S8" s="155"/>
    </row>
    <row r="9" spans="1:22" x14ac:dyDescent="0.2">
      <c r="C9" s="162"/>
      <c r="E9" s="160"/>
      <c r="G9" s="150" t="s">
        <v>58</v>
      </c>
      <c r="J9" s="155">
        <f>ROUND(J5*1.4244,0)</f>
        <v>903541</v>
      </c>
      <c r="N9" s="73"/>
      <c r="S9" s="163"/>
      <c r="U9" s="54"/>
      <c r="V9" s="54"/>
    </row>
    <row r="10" spans="1:22" x14ac:dyDescent="0.2">
      <c r="B10" s="1" t="s">
        <v>59</v>
      </c>
      <c r="C10" s="164">
        <v>2508</v>
      </c>
      <c r="E10" s="165"/>
      <c r="G10" s="150" t="s">
        <v>60</v>
      </c>
      <c r="J10" s="155">
        <f>ROUND(6540*C8,0)</f>
        <v>431643</v>
      </c>
      <c r="N10" s="73"/>
      <c r="S10" s="54"/>
    </row>
    <row r="11" spans="1:22" x14ac:dyDescent="0.2">
      <c r="C11" s="155"/>
      <c r="E11" s="157"/>
      <c r="G11" s="150" t="s">
        <v>61</v>
      </c>
      <c r="J11" s="155">
        <f>ROUND(16343*C8,0)</f>
        <v>1078646</v>
      </c>
      <c r="N11" s="73"/>
      <c r="S11" s="54"/>
    </row>
    <row r="12" spans="1:22" x14ac:dyDescent="0.2">
      <c r="B12" s="1" t="s">
        <v>62</v>
      </c>
      <c r="C12" s="155">
        <f>9120*C8</f>
        <v>601924.56000000006</v>
      </c>
      <c r="E12" s="157"/>
      <c r="G12" s="150" t="s">
        <v>63</v>
      </c>
      <c r="J12" s="155">
        <f>ROUND(6863*C8,0)</f>
        <v>452961</v>
      </c>
    </row>
    <row r="13" spans="1:22" x14ac:dyDescent="0.2">
      <c r="A13" s="221">
        <v>1634286</v>
      </c>
      <c r="B13" s="1" t="s">
        <v>64</v>
      </c>
      <c r="C13" s="155">
        <f>34320*C8</f>
        <v>2265137.16</v>
      </c>
      <c r="D13" s="224">
        <v>163429</v>
      </c>
      <c r="E13" s="224">
        <v>163429</v>
      </c>
      <c r="F13" s="224">
        <v>98056</v>
      </c>
      <c r="G13" s="150" t="s">
        <v>65</v>
      </c>
      <c r="J13" s="155">
        <f>ROUND(8554*C8,0)</f>
        <v>564568</v>
      </c>
    </row>
    <row r="14" spans="1:22" x14ac:dyDescent="0.2">
      <c r="A14" s="221">
        <v>1144238</v>
      </c>
      <c r="B14" s="1" t="s">
        <v>66</v>
      </c>
      <c r="C14" s="155">
        <f>ROUND(24029*C8,0)</f>
        <v>1585926</v>
      </c>
      <c r="D14" s="224">
        <v>114424</v>
      </c>
      <c r="E14" s="224">
        <v>114424</v>
      </c>
      <c r="F14" s="224">
        <v>68654</v>
      </c>
      <c r="G14" s="150" t="s">
        <v>67</v>
      </c>
      <c r="J14" s="155">
        <f>C6</f>
        <v>330002.5</v>
      </c>
      <c r="N14" s="17"/>
      <c r="O14" s="17"/>
      <c r="P14" s="17"/>
      <c r="Q14" s="17"/>
    </row>
    <row r="15" spans="1:22" x14ac:dyDescent="0.2">
      <c r="A15" s="221">
        <v>1307809</v>
      </c>
      <c r="B15" s="1" t="s">
        <v>68</v>
      </c>
      <c r="C15" s="155">
        <f>ROUND(27464*C8,0)</f>
        <v>1812638</v>
      </c>
      <c r="D15" s="224">
        <v>130781</v>
      </c>
      <c r="E15" s="224">
        <v>130781</v>
      </c>
      <c r="F15" s="224">
        <v>78469</v>
      </c>
      <c r="G15" s="150" t="s">
        <v>69</v>
      </c>
      <c r="J15" s="155">
        <f>ROUND(720*C8,0)</f>
        <v>47520</v>
      </c>
      <c r="N15" s="71"/>
      <c r="O15" s="71"/>
      <c r="P15" s="166"/>
      <c r="Q15" s="71"/>
      <c r="R15" s="167"/>
      <c r="S15" s="168"/>
      <c r="T15" s="167"/>
    </row>
    <row r="16" spans="1:22" x14ac:dyDescent="0.2">
      <c r="B16" s="1" t="s">
        <v>70</v>
      </c>
      <c r="C16" s="155">
        <v>28680</v>
      </c>
      <c r="E16" s="157"/>
      <c r="G16" s="150" t="s">
        <v>71</v>
      </c>
      <c r="J16" s="155">
        <f>ROUND(26149*C8,0)</f>
        <v>1725847</v>
      </c>
      <c r="K16" s="221">
        <v>980587</v>
      </c>
      <c r="L16" s="224">
        <v>98059</v>
      </c>
      <c r="M16" s="224">
        <v>98059</v>
      </c>
      <c r="N16" s="71">
        <f>K16+L16+M16</f>
        <v>1176705</v>
      </c>
      <c r="O16" s="71"/>
      <c r="P16" s="166"/>
      <c r="Q16" s="71"/>
      <c r="R16" s="169"/>
      <c r="S16" s="168"/>
      <c r="T16" s="167"/>
    </row>
    <row r="17" spans="1:20" x14ac:dyDescent="0.2">
      <c r="B17" s="1" t="s">
        <v>72</v>
      </c>
      <c r="C17" s="155">
        <f>14000*C8</f>
        <v>924007</v>
      </c>
      <c r="D17" s="1" t="s">
        <v>73</v>
      </c>
      <c r="E17" s="157"/>
      <c r="G17" s="170" t="s">
        <v>74</v>
      </c>
      <c r="J17" s="155">
        <f>ROUND(16342.3*C8,0)</f>
        <v>1078600</v>
      </c>
      <c r="N17" s="71"/>
      <c r="O17" s="71"/>
      <c r="P17" s="166"/>
      <c r="Q17" s="71"/>
      <c r="R17" s="169"/>
      <c r="S17" s="168"/>
      <c r="T17" s="167"/>
    </row>
    <row r="18" spans="1:20" x14ac:dyDescent="0.2">
      <c r="B18" s="1" t="s">
        <v>75</v>
      </c>
      <c r="C18" s="155">
        <f>10000*C8</f>
        <v>660005</v>
      </c>
      <c r="G18" s="171" t="s">
        <v>340</v>
      </c>
      <c r="H18" s="172"/>
      <c r="I18" s="172"/>
      <c r="J18" s="155">
        <f>ROUND(19223*C8,0)</f>
        <v>1268728</v>
      </c>
      <c r="K18" s="225">
        <v>915381</v>
      </c>
      <c r="L18" s="225">
        <v>91538</v>
      </c>
      <c r="M18" s="225">
        <v>91538</v>
      </c>
      <c r="N18" s="226">
        <v>54923</v>
      </c>
      <c r="O18" s="71">
        <f>K18+L18+M18+N18</f>
        <v>1153380</v>
      </c>
      <c r="P18" s="166"/>
      <c r="Q18" s="71"/>
      <c r="R18" s="169"/>
      <c r="S18" s="168"/>
      <c r="T18" s="167"/>
    </row>
    <row r="19" spans="1:20" x14ac:dyDescent="0.2">
      <c r="B19" s="1" t="s">
        <v>76</v>
      </c>
      <c r="C19" s="155">
        <f>16000*C8</f>
        <v>1056008</v>
      </c>
      <c r="G19" s="150" t="s">
        <v>77</v>
      </c>
      <c r="I19" s="173" t="s">
        <v>78</v>
      </c>
      <c r="J19" s="174">
        <f>ROUND(16676*C8,0)</f>
        <v>1100624</v>
      </c>
      <c r="K19" s="175"/>
      <c r="N19" s="71"/>
      <c r="O19" s="71"/>
      <c r="P19" s="166"/>
      <c r="Q19" s="71"/>
      <c r="R19" s="169"/>
      <c r="S19" s="168"/>
      <c r="T19" s="167"/>
    </row>
    <row r="20" spans="1:20" x14ac:dyDescent="0.2">
      <c r="B20" s="1" t="s">
        <v>79</v>
      </c>
      <c r="C20" s="155">
        <f>C5*0.36</f>
        <v>432000</v>
      </c>
      <c r="E20" s="157"/>
      <c r="G20" s="170" t="s">
        <v>80</v>
      </c>
      <c r="H20" s="176">
        <f>J20-J19</f>
        <v>1100624</v>
      </c>
      <c r="I20" s="173" t="s">
        <v>78</v>
      </c>
      <c r="J20" s="177">
        <f>J19*2</f>
        <v>2201248</v>
      </c>
      <c r="K20" s="178"/>
      <c r="N20" s="71"/>
      <c r="O20" s="71"/>
      <c r="P20" s="166"/>
      <c r="Q20" s="71"/>
    </row>
    <row r="21" spans="1:20" x14ac:dyDescent="0.2">
      <c r="B21" s="1" t="s">
        <v>81</v>
      </c>
      <c r="C21" s="155">
        <f>C5*0.08</f>
        <v>96000</v>
      </c>
      <c r="E21" s="157"/>
      <c r="G21" s="170" t="s">
        <v>80</v>
      </c>
      <c r="H21" s="176">
        <f>ROUND(10810.68*C8,0)</f>
        <v>713510</v>
      </c>
      <c r="I21" s="173" t="s">
        <v>78</v>
      </c>
      <c r="J21" s="177">
        <f>J20+H21</f>
        <v>2914758</v>
      </c>
      <c r="K21" s="178"/>
      <c r="O21" s="17"/>
      <c r="P21" s="166"/>
      <c r="Q21" s="179"/>
    </row>
    <row r="22" spans="1:20" x14ac:dyDescent="0.2">
      <c r="B22" s="1" t="s">
        <v>82</v>
      </c>
      <c r="C22" s="155">
        <f>ROUND(6934.5*C8,0)</f>
        <v>457680</v>
      </c>
      <c r="E22" s="157"/>
      <c r="G22" s="170" t="s">
        <v>80</v>
      </c>
      <c r="H22" s="176">
        <f>ROUND(22570.68*C8,0)</f>
        <v>1489676</v>
      </c>
      <c r="I22" s="173" t="s">
        <v>78</v>
      </c>
      <c r="J22" s="177">
        <f>J21+H22</f>
        <v>4404434</v>
      </c>
      <c r="K22" s="178"/>
    </row>
    <row r="23" spans="1:20" x14ac:dyDescent="0.2">
      <c r="B23" s="1" t="s">
        <v>83</v>
      </c>
      <c r="C23" s="157"/>
      <c r="E23" s="157"/>
      <c r="G23" s="170" t="s">
        <v>80</v>
      </c>
      <c r="H23" s="176">
        <f>ROUND(16671.7*C8,0)</f>
        <v>1100341</v>
      </c>
      <c r="I23" s="173" t="s">
        <v>78</v>
      </c>
      <c r="J23" s="177">
        <f>J22+H23</f>
        <v>5504775</v>
      </c>
      <c r="K23" s="180"/>
    </row>
    <row r="24" spans="1:20" x14ac:dyDescent="0.2">
      <c r="B24" s="1" t="s">
        <v>84</v>
      </c>
      <c r="C24" s="227">
        <v>1144238</v>
      </c>
      <c r="E24" s="181"/>
      <c r="G24" s="150"/>
      <c r="H24" s="176"/>
      <c r="K24" s="1" t="s">
        <v>10</v>
      </c>
      <c r="L24" s="1" t="s">
        <v>85</v>
      </c>
    </row>
    <row r="25" spans="1:20" x14ac:dyDescent="0.2">
      <c r="A25" s="221">
        <v>915467</v>
      </c>
      <c r="B25" s="73" t="s">
        <v>341</v>
      </c>
      <c r="C25" s="155">
        <f>ROUND(19224.8*C8,0)</f>
        <v>1268846</v>
      </c>
      <c r="D25" s="221">
        <v>91547</v>
      </c>
      <c r="E25" s="228">
        <v>91547</v>
      </c>
      <c r="F25" s="221">
        <v>54927</v>
      </c>
      <c r="G25" s="170" t="s">
        <v>86</v>
      </c>
      <c r="I25" s="173" t="s">
        <v>87</v>
      </c>
      <c r="J25" s="182">
        <f>125000*C8</f>
        <v>8250062.5</v>
      </c>
      <c r="K25" s="1">
        <v>2</v>
      </c>
      <c r="L25" s="182">
        <f>J25*K25%</f>
        <v>165001.25</v>
      </c>
    </row>
    <row r="26" spans="1:20" x14ac:dyDescent="0.2">
      <c r="C26" s="157"/>
      <c r="E26" s="157"/>
      <c r="G26" s="150"/>
      <c r="I26" s="173" t="s">
        <v>78</v>
      </c>
      <c r="J26" s="182">
        <f>500000*C8</f>
        <v>33000250</v>
      </c>
      <c r="K26" s="1">
        <v>1.5</v>
      </c>
      <c r="L26" s="182">
        <f>ROUNDDOWN((J26-J25)*K26%+L25,0)</f>
        <v>536254</v>
      </c>
    </row>
    <row r="27" spans="1:20" x14ac:dyDescent="0.2">
      <c r="B27" s="1" t="s">
        <v>88</v>
      </c>
      <c r="C27" s="183"/>
      <c r="E27" s="157"/>
      <c r="G27" s="150"/>
      <c r="I27" s="173" t="s">
        <v>78</v>
      </c>
      <c r="J27" s="182">
        <f>1000000*C8</f>
        <v>66000500</v>
      </c>
      <c r="K27" s="1">
        <v>1</v>
      </c>
      <c r="L27" s="182">
        <f>(J27-J26)*K27%+L26</f>
        <v>866256.5</v>
      </c>
    </row>
    <row r="28" spans="1:20" x14ac:dyDescent="0.2">
      <c r="G28" s="150"/>
      <c r="I28" s="173" t="s">
        <v>78</v>
      </c>
      <c r="J28" s="182">
        <f>2000000*C8</f>
        <v>132001000</v>
      </c>
      <c r="K28" s="1">
        <v>0.6</v>
      </c>
      <c r="L28" s="182">
        <f>(J28-J27)*K28%+L27</f>
        <v>1262259.5</v>
      </c>
    </row>
    <row r="29" spans="1:20" x14ac:dyDescent="0.2">
      <c r="G29" s="150"/>
      <c r="I29" s="173" t="s">
        <v>78</v>
      </c>
      <c r="J29" s="182">
        <f>4000000*C8</f>
        <v>264002000</v>
      </c>
      <c r="K29" s="1">
        <v>0.4</v>
      </c>
      <c r="L29" s="182">
        <f>(J29-J28)*K29%+L28</f>
        <v>1790263.5</v>
      </c>
    </row>
    <row r="30" spans="1:20" x14ac:dyDescent="0.2">
      <c r="G30" s="150"/>
      <c r="I30" s="173" t="s">
        <v>78</v>
      </c>
      <c r="J30" s="182">
        <f>7500000*C8</f>
        <v>495003750</v>
      </c>
      <c r="K30" s="1">
        <v>0.2</v>
      </c>
      <c r="L30" s="182">
        <f>(J30-J29)*K30%+L29</f>
        <v>2252267</v>
      </c>
    </row>
    <row r="31" spans="1:20" x14ac:dyDescent="0.2">
      <c r="B31" s="1" t="s">
        <v>89</v>
      </c>
      <c r="D31" s="73" t="s">
        <v>351</v>
      </c>
      <c r="E31" s="229" t="e">
        <f>'[3]Octubre 2024'!G29</f>
        <v>#REF!</v>
      </c>
      <c r="G31" s="150"/>
      <c r="I31" s="1" t="s">
        <v>8</v>
      </c>
      <c r="K31" s="1">
        <v>0.1</v>
      </c>
    </row>
    <row r="32" spans="1:20" ht="12.75" customHeight="1" x14ac:dyDescent="0.2">
      <c r="B32" s="1" t="s">
        <v>8</v>
      </c>
      <c r="D32" s="73" t="s">
        <v>352</v>
      </c>
      <c r="E32" s="229" t="e">
        <f>'[3]Octubre 2024'!G30</f>
        <v>#REF!</v>
      </c>
      <c r="G32" s="170" t="s">
        <v>90</v>
      </c>
      <c r="I32" s="184">
        <f>37310*(C8/0.36)</f>
        <v>6840218.4861111119</v>
      </c>
      <c r="J32" s="274"/>
    </row>
    <row r="33" spans="2:10" x14ac:dyDescent="0.2">
      <c r="B33" s="182">
        <f>200000*C8</f>
        <v>13200100</v>
      </c>
      <c r="C33" s="230" t="s">
        <v>353</v>
      </c>
      <c r="D33" s="73" t="s">
        <v>354</v>
      </c>
      <c r="E33" s="1" t="e">
        <f>E31+E32</f>
        <v>#REF!</v>
      </c>
      <c r="I33" s="184">
        <f>55972*(C8/0.36)</f>
        <v>10261611.072222224</v>
      </c>
      <c r="J33" s="275"/>
    </row>
    <row r="34" spans="2:10" x14ac:dyDescent="0.2">
      <c r="B34" s="182">
        <f>(1000000-200000)*C8</f>
        <v>52800400</v>
      </c>
      <c r="C34" s="230" t="s">
        <v>355</v>
      </c>
      <c r="D34" s="231">
        <v>1.5</v>
      </c>
      <c r="E34" s="1">
        <v>1.5</v>
      </c>
      <c r="I34" s="184">
        <f>93286*(C8/0.36)</f>
        <v>17102562.897222225</v>
      </c>
      <c r="J34" s="275"/>
    </row>
    <row r="35" spans="2:10" x14ac:dyDescent="0.2">
      <c r="B35" s="182">
        <f>(2000000-1000000)*C8</f>
        <v>66000500</v>
      </c>
      <c r="C35" s="230" t="s">
        <v>356</v>
      </c>
      <c r="D35" s="73" t="s">
        <v>357</v>
      </c>
      <c r="E35" s="1" t="e">
        <f>E33*E34</f>
        <v>#REF!</v>
      </c>
      <c r="I35" s="184">
        <f>186580*(C8/0.36)</f>
        <v>34206592.472222224</v>
      </c>
      <c r="J35" s="275"/>
    </row>
    <row r="36" spans="2:10" x14ac:dyDescent="0.2">
      <c r="B36" s="182">
        <f>(5000000-2000000)*C8</f>
        <v>198001500</v>
      </c>
      <c r="D36" s="73" t="s">
        <v>358</v>
      </c>
      <c r="E36" s="229" t="e">
        <f>'[3]Octubre 2024'!G31</f>
        <v>#REF!</v>
      </c>
      <c r="I36" s="184">
        <f>558090*(C8/0.36)</f>
        <v>102317275.12500001</v>
      </c>
      <c r="J36" s="275"/>
    </row>
    <row r="37" spans="2:10" x14ac:dyDescent="0.2">
      <c r="C37" s="230" t="s">
        <v>359</v>
      </c>
      <c r="D37" s="73" t="s">
        <v>360</v>
      </c>
      <c r="E37" s="1" t="e">
        <f>E35+E36</f>
        <v>#REF!</v>
      </c>
      <c r="I37" s="184">
        <f>931215*(C8/0.36)</f>
        <v>170724043.35416669</v>
      </c>
      <c r="J37" s="275"/>
    </row>
    <row r="38" spans="2:10" x14ac:dyDescent="0.2">
      <c r="B38" s="1" t="s">
        <v>91</v>
      </c>
      <c r="D38" s="73" t="s">
        <v>361</v>
      </c>
      <c r="E38" s="232" t="e">
        <f>'[3]Octubre 2024'!F32</f>
        <v>#REF!</v>
      </c>
      <c r="I38" s="184">
        <f>1868989*(C8/0.36)</f>
        <v>342650579.15138894</v>
      </c>
      <c r="J38" s="275"/>
    </row>
    <row r="39" spans="2:10" ht="13.5" x14ac:dyDescent="0.25">
      <c r="B39" s="1" t="s">
        <v>8</v>
      </c>
      <c r="C39" s="230" t="s">
        <v>362</v>
      </c>
      <c r="D39" s="73" t="s">
        <v>363</v>
      </c>
      <c r="E39" s="1" t="e">
        <f>(E38-1)^(1/2)</f>
        <v>#REF!</v>
      </c>
      <c r="I39" s="184">
        <f>3718378*(C8/0.36)</f>
        <v>681707797.7472223</v>
      </c>
      <c r="J39" s="275"/>
    </row>
    <row r="40" spans="2:10" x14ac:dyDescent="0.2">
      <c r="B40" s="182">
        <f>200000*C8</f>
        <v>13200100</v>
      </c>
      <c r="C40" s="230" t="s">
        <v>364</v>
      </c>
      <c r="D40" s="73" t="s">
        <v>365</v>
      </c>
      <c r="E40" s="1" t="e">
        <f>E37/E39</f>
        <v>#REF!</v>
      </c>
      <c r="I40" s="184">
        <f>7449822*(C8/0.36)</f>
        <v>1365811046.9750001</v>
      </c>
      <c r="J40" s="275"/>
    </row>
    <row r="41" spans="2:10" x14ac:dyDescent="0.2">
      <c r="B41" s="182">
        <f>(1000000-200000)*C8</f>
        <v>52800400</v>
      </c>
      <c r="C41" s="230" t="s">
        <v>366</v>
      </c>
      <c r="D41" s="73" t="s">
        <v>367</v>
      </c>
      <c r="E41" s="1" t="e">
        <f>E38-2</f>
        <v>#REF!</v>
      </c>
      <c r="I41" s="184">
        <f>14899636*(C8/0.36)</f>
        <v>2731620627.2722225</v>
      </c>
      <c r="J41" s="275"/>
    </row>
    <row r="42" spans="2:10" x14ac:dyDescent="0.2">
      <c r="B42" s="182">
        <f>(2000000-1000000)*C8</f>
        <v>66000500</v>
      </c>
      <c r="C42" s="230" t="s">
        <v>368</v>
      </c>
      <c r="D42" s="73" t="s">
        <v>369</v>
      </c>
      <c r="E42" s="1" t="e">
        <f>3*(E38-1)</f>
        <v>#REF!</v>
      </c>
      <c r="I42" s="184">
        <f>29799278*(C8/0.36)</f>
        <v>5463242354.5527782</v>
      </c>
      <c r="J42" s="275"/>
    </row>
    <row r="43" spans="2:10" x14ac:dyDescent="0.2">
      <c r="B43" s="182">
        <f>(5000000-2000000)*C8</f>
        <v>198001500</v>
      </c>
      <c r="C43" s="230" t="s">
        <v>370</v>
      </c>
      <c r="D43" s="73" t="s">
        <v>371</v>
      </c>
      <c r="E43" s="1" t="e">
        <f>E41/E42</f>
        <v>#REF!</v>
      </c>
      <c r="I43" s="184">
        <f>59598560*(C8/0.36)</f>
        <v>10926485442.444445</v>
      </c>
      <c r="J43" s="275"/>
    </row>
    <row r="44" spans="2:10" x14ac:dyDescent="0.2">
      <c r="C44" s="230" t="s">
        <v>372</v>
      </c>
      <c r="D44" s="73" t="s">
        <v>373</v>
      </c>
      <c r="E44" s="78" t="e">
        <f>C13*E40*E43</f>
        <v>#REF!</v>
      </c>
      <c r="F44" s="277" t="s">
        <v>92</v>
      </c>
      <c r="G44" s="278"/>
      <c r="I44" s="184">
        <f>119197121*(C8/0.36)</f>
        <v>21852971068.223614</v>
      </c>
      <c r="J44" s="275"/>
    </row>
    <row r="45" spans="2:10" x14ac:dyDescent="0.2">
      <c r="F45" s="279"/>
      <c r="G45" s="280"/>
      <c r="I45" s="184">
        <f>238394228*(C8/0.36)</f>
        <v>43705939569.761116</v>
      </c>
      <c r="J45" s="275"/>
    </row>
    <row r="46" spans="2:10" x14ac:dyDescent="0.2">
      <c r="B46" s="73" t="s">
        <v>93</v>
      </c>
      <c r="C46" s="185">
        <v>1</v>
      </c>
      <c r="F46" s="186">
        <f>C48</f>
        <v>538452</v>
      </c>
      <c r="G46" s="187">
        <f>F46</f>
        <v>538452</v>
      </c>
      <c r="I46" s="184">
        <f>476788468*(C8/0.36)</f>
        <v>87411881339.538895</v>
      </c>
      <c r="J46" s="276"/>
    </row>
    <row r="47" spans="2:10" x14ac:dyDescent="0.2">
      <c r="B47" s="73" t="s">
        <v>94</v>
      </c>
      <c r="C47" s="157">
        <f>ROUND(6540*C8,0)</f>
        <v>431643</v>
      </c>
      <c r="D47" s="281"/>
      <c r="F47" s="188">
        <f>C51*E51%</f>
        <v>95000</v>
      </c>
      <c r="G47" s="189">
        <f>G46+F47</f>
        <v>633452</v>
      </c>
    </row>
    <row r="48" spans="2:10" x14ac:dyDescent="0.2">
      <c r="B48" s="73" t="s">
        <v>95</v>
      </c>
      <c r="C48" s="157">
        <f>ROUND(8158.3*C8,0)</f>
        <v>538452</v>
      </c>
      <c r="D48" s="282"/>
      <c r="F48" s="190"/>
      <c r="G48" s="191"/>
    </row>
    <row r="49" spans="2:18" x14ac:dyDescent="0.2">
      <c r="E49" s="72" t="s">
        <v>10</v>
      </c>
    </row>
    <row r="50" spans="2:18" x14ac:dyDescent="0.2">
      <c r="B50" s="283" t="s">
        <v>96</v>
      </c>
      <c r="C50" s="192">
        <v>1000000</v>
      </c>
      <c r="D50" s="193">
        <f>C50</f>
        <v>1000000</v>
      </c>
      <c r="E50" s="194"/>
      <c r="F50" s="193">
        <f>C47</f>
        <v>431643</v>
      </c>
      <c r="G50" s="195">
        <f>F50</f>
        <v>431643</v>
      </c>
      <c r="I50" s="73" t="s">
        <v>97</v>
      </c>
      <c r="J50" s="184">
        <f>ROUND(7500*C8,0)</f>
        <v>495004</v>
      </c>
    </row>
    <row r="51" spans="2:18" x14ac:dyDescent="0.2">
      <c r="B51" s="284"/>
      <c r="C51" s="188">
        <f>D51-D50</f>
        <v>19000000</v>
      </c>
      <c r="D51" s="196">
        <v>20000000</v>
      </c>
      <c r="E51" s="17">
        <v>0.5</v>
      </c>
      <c r="F51" s="197">
        <f>C51*E51%</f>
        <v>95000</v>
      </c>
      <c r="G51" s="198">
        <f>G50+F51</f>
        <v>526643</v>
      </c>
      <c r="J51" s="184">
        <f>ROUND(12500*C8,0)</f>
        <v>825006</v>
      </c>
    </row>
    <row r="52" spans="2:18" x14ac:dyDescent="0.2">
      <c r="B52" s="279"/>
      <c r="C52" s="271" t="s">
        <v>145</v>
      </c>
      <c r="D52" s="272"/>
      <c r="E52" s="17">
        <v>0.25</v>
      </c>
      <c r="F52" s="197"/>
      <c r="G52" s="198"/>
      <c r="J52" s="184">
        <f>ROUND(18750*C8,0)</f>
        <v>1237509</v>
      </c>
    </row>
    <row r="53" spans="2:18" x14ac:dyDescent="0.2">
      <c r="C53" s="199"/>
      <c r="D53" s="172"/>
      <c r="E53" s="200"/>
      <c r="F53" s="172"/>
      <c r="G53" s="201"/>
    </row>
    <row r="54" spans="2:18" x14ac:dyDescent="0.2">
      <c r="E54" s="74" t="s">
        <v>10</v>
      </c>
      <c r="L54" s="73"/>
      <c r="M54" s="73"/>
    </row>
    <row r="55" spans="2:18" x14ac:dyDescent="0.2">
      <c r="B55" s="266" t="s">
        <v>98</v>
      </c>
      <c r="C55" s="196">
        <v>1000000</v>
      </c>
      <c r="D55" s="197">
        <f>C55</f>
        <v>1000000</v>
      </c>
      <c r="E55" s="17"/>
      <c r="F55" s="197">
        <f>F50</f>
        <v>431643</v>
      </c>
      <c r="G55" s="197">
        <f>F55</f>
        <v>431643</v>
      </c>
      <c r="I55" s="73" t="s">
        <v>99</v>
      </c>
      <c r="L55" s="73"/>
      <c r="M55" s="73"/>
    </row>
    <row r="56" spans="2:18" ht="25.5" x14ac:dyDescent="0.2">
      <c r="B56" s="285"/>
      <c r="C56" s="197">
        <f>D56-D55</f>
        <v>4000000</v>
      </c>
      <c r="D56" s="196">
        <v>5000000</v>
      </c>
      <c r="E56" s="17">
        <v>0.5</v>
      </c>
      <c r="F56" s="197">
        <f>C56*E56%</f>
        <v>20000</v>
      </c>
      <c r="G56" s="197">
        <f>G55+F56</f>
        <v>451643</v>
      </c>
      <c r="I56" s="73" t="s">
        <v>100</v>
      </c>
      <c r="J56" s="75" t="s">
        <v>101</v>
      </c>
      <c r="K56" s="76" t="s">
        <v>102</v>
      </c>
      <c r="L56" s="76"/>
      <c r="M56" s="76"/>
      <c r="N56" s="73"/>
    </row>
    <row r="57" spans="2:18" ht="14.25" x14ac:dyDescent="0.2">
      <c r="B57" s="285"/>
      <c r="C57" s="197">
        <f>D57-D56</f>
        <v>5000000</v>
      </c>
      <c r="D57" s="196">
        <v>10000000</v>
      </c>
      <c r="E57" s="17">
        <v>0.4</v>
      </c>
      <c r="F57" s="197">
        <f>C57*E57%</f>
        <v>20000</v>
      </c>
      <c r="G57" s="197">
        <f>G56+F57</f>
        <v>471643</v>
      </c>
      <c r="J57" s="73" t="s">
        <v>103</v>
      </c>
      <c r="K57" s="233">
        <v>28680</v>
      </c>
      <c r="L57" s="202">
        <f>477.647058823529*C8</f>
        <v>31524.944705882328</v>
      </c>
    </row>
    <row r="58" spans="2:18" ht="14.25" x14ac:dyDescent="0.2">
      <c r="B58" s="285"/>
      <c r="C58" s="197">
        <f>D58-D57</f>
        <v>10000000</v>
      </c>
      <c r="D58" s="196">
        <v>20000000</v>
      </c>
      <c r="E58" s="17">
        <v>0.3</v>
      </c>
      <c r="F58" s="197">
        <f>C58*E58%</f>
        <v>30000</v>
      </c>
      <c r="G58" s="197">
        <f>G57+F58</f>
        <v>501643</v>
      </c>
      <c r="I58" s="1">
        <v>176</v>
      </c>
      <c r="J58" s="73" t="s">
        <v>104</v>
      </c>
      <c r="K58" s="233">
        <f>ROUNDUP((88235.2941176471*C8),0)</f>
        <v>5823574</v>
      </c>
      <c r="L58" s="202">
        <f>88235.2941176471*C8</f>
        <v>5823573.5294117685</v>
      </c>
      <c r="M58" s="203"/>
      <c r="N58" s="73"/>
      <c r="P58" s="203"/>
      <c r="R58" s="203"/>
    </row>
    <row r="59" spans="2:18" ht="14.25" x14ac:dyDescent="0.2">
      <c r="B59" s="286"/>
      <c r="C59" s="197">
        <f>D59-D58</f>
        <v>20000000</v>
      </c>
      <c r="D59" s="196">
        <v>40000000</v>
      </c>
      <c r="E59" s="17">
        <v>0.2</v>
      </c>
      <c r="F59" s="197">
        <f>C59*E59%</f>
        <v>40000</v>
      </c>
      <c r="G59" s="197">
        <f>G58+F59</f>
        <v>541643</v>
      </c>
      <c r="I59" s="1">
        <v>176</v>
      </c>
      <c r="J59" s="73" t="s">
        <v>105</v>
      </c>
      <c r="K59" s="233">
        <f>ROUNDUP((102941.176470588*C8),0)</f>
        <v>6794170</v>
      </c>
      <c r="L59" s="202">
        <f>102941.176470588*C8</f>
        <v>6794169.1176470434</v>
      </c>
      <c r="M59" s="203"/>
      <c r="N59" s="73"/>
      <c r="P59" s="203"/>
      <c r="R59" s="203"/>
    </row>
    <row r="60" spans="2:18" ht="14.25" x14ac:dyDescent="0.2">
      <c r="B60" s="143"/>
      <c r="C60" s="272" t="s">
        <v>145</v>
      </c>
      <c r="D60" s="272"/>
      <c r="E60" s="17">
        <v>0.1</v>
      </c>
      <c r="F60" s="197"/>
      <c r="G60" s="197"/>
      <c r="I60" s="1">
        <v>176</v>
      </c>
      <c r="J60" s="73" t="s">
        <v>106</v>
      </c>
      <c r="K60" s="233">
        <f>ROUNDUP((117647.058823529*C8),0)</f>
        <v>7764765</v>
      </c>
      <c r="L60" s="202">
        <f>117647.058823529*C8</f>
        <v>7764764.7058823267</v>
      </c>
      <c r="M60" s="203"/>
      <c r="N60" s="73"/>
      <c r="P60" s="203"/>
      <c r="R60" s="203"/>
    </row>
    <row r="61" spans="2:18" ht="14.25" x14ac:dyDescent="0.2">
      <c r="B61" s="204" t="s">
        <v>107</v>
      </c>
      <c r="E61" s="204" t="s">
        <v>108</v>
      </c>
      <c r="F61" s="157"/>
      <c r="I61" s="1">
        <v>176</v>
      </c>
      <c r="J61" s="73" t="s">
        <v>109</v>
      </c>
      <c r="K61" s="233">
        <f>ROUNDDOWN((147058.823529412*C8),0)</f>
        <v>9705955</v>
      </c>
      <c r="L61" s="202">
        <f>147058.823529412*C8</f>
        <v>9705955.8823529575</v>
      </c>
      <c r="M61" s="203"/>
      <c r="N61" s="73"/>
      <c r="P61" s="203"/>
      <c r="R61" s="203"/>
    </row>
    <row r="62" spans="2:18" ht="14.25" x14ac:dyDescent="0.2">
      <c r="B62" s="205" t="s">
        <v>110</v>
      </c>
      <c r="C62" s="157">
        <f>C47</f>
        <v>431643</v>
      </c>
      <c r="E62" s="205" t="s">
        <v>110</v>
      </c>
      <c r="F62" s="157">
        <f>C48</f>
        <v>538452</v>
      </c>
      <c r="I62" s="1">
        <v>176</v>
      </c>
      <c r="J62" s="73" t="s">
        <v>111</v>
      </c>
      <c r="K62" s="233">
        <f>ROUNDDOWN((161764.705882353*C8),0)</f>
        <v>10676551</v>
      </c>
      <c r="L62" s="202">
        <f>161764.705882353*C8</f>
        <v>10676551.470588241</v>
      </c>
      <c r="M62" s="203"/>
      <c r="N62" s="73"/>
      <c r="P62" s="203"/>
      <c r="R62" s="203"/>
    </row>
    <row r="63" spans="2:18" ht="14.25" x14ac:dyDescent="0.2">
      <c r="B63" s="205" t="s">
        <v>342</v>
      </c>
      <c r="C63" s="157">
        <f>ROUND(C62*1.5,0)</f>
        <v>647465</v>
      </c>
      <c r="E63" s="205" t="s">
        <v>342</v>
      </c>
      <c r="F63" s="157">
        <f>ROUND(F62*1.5,0)</f>
        <v>807678</v>
      </c>
      <c r="I63" s="1">
        <v>176</v>
      </c>
      <c r="J63" s="73" t="s">
        <v>112</v>
      </c>
      <c r="K63" s="233">
        <f>ROUNDDOWN((176470.588235294*C8),0)</f>
        <v>11647147</v>
      </c>
      <c r="L63" s="202">
        <f>176470.588235294*C8</f>
        <v>11647147.058823522</v>
      </c>
      <c r="M63" s="203"/>
      <c r="N63" s="73"/>
      <c r="P63" s="203"/>
      <c r="R63" s="203"/>
    </row>
    <row r="64" spans="2:18" ht="14.25" x14ac:dyDescent="0.2">
      <c r="B64" s="205" t="s">
        <v>343</v>
      </c>
      <c r="C64" s="157">
        <f>ROUND(C63*1.2,0)</f>
        <v>776958</v>
      </c>
      <c r="E64" s="205" t="s">
        <v>343</v>
      </c>
      <c r="F64" s="157">
        <f>ROUND(F63*1.2,0)</f>
        <v>969214</v>
      </c>
      <c r="I64" s="1">
        <v>176</v>
      </c>
      <c r="J64" s="73" t="s">
        <v>113</v>
      </c>
      <c r="K64" s="233">
        <f>ROUNDDOWN((191176.470588235*C8),0)</f>
        <v>12617742</v>
      </c>
      <c r="L64" s="202">
        <f>191176.470588235*C8</f>
        <v>12617742.647058805</v>
      </c>
      <c r="M64" s="203"/>
      <c r="N64" s="73"/>
      <c r="P64" s="203"/>
      <c r="R64" s="203"/>
    </row>
    <row r="65" spans="2:19" ht="14.25" x14ac:dyDescent="0.2">
      <c r="B65" s="205" t="s">
        <v>344</v>
      </c>
      <c r="C65" s="157">
        <f>ROUND(C64*1.2,0)</f>
        <v>932350</v>
      </c>
      <c r="E65" s="205" t="s">
        <v>344</v>
      </c>
      <c r="F65" s="157">
        <f>ROUND(F64*1.2,0)+1</f>
        <v>1163058</v>
      </c>
      <c r="I65" s="1">
        <v>176</v>
      </c>
      <c r="J65" s="73" t="s">
        <v>114</v>
      </c>
      <c r="K65" s="233">
        <f>ROUNDDOWN((205882.352941176*C8),0)</f>
        <v>13588338</v>
      </c>
      <c r="L65" s="202">
        <f>205882.352941176*C8</f>
        <v>13588338.235294087</v>
      </c>
      <c r="M65" s="203"/>
      <c r="N65" s="73"/>
      <c r="P65" s="203"/>
      <c r="R65" s="203"/>
    </row>
    <row r="66" spans="2:19" ht="14.25" x14ac:dyDescent="0.2">
      <c r="B66" s="205" t="s">
        <v>345</v>
      </c>
      <c r="C66" s="157">
        <f>ROUND(C65*1.2,0)</f>
        <v>1118820</v>
      </c>
      <c r="E66" s="205" t="s">
        <v>345</v>
      </c>
      <c r="F66" s="157">
        <f>ROUND(F65*1.2,0)</f>
        <v>1395670</v>
      </c>
      <c r="I66" s="1">
        <v>176</v>
      </c>
      <c r="J66" s="73" t="s">
        <v>115</v>
      </c>
      <c r="K66" s="233">
        <f>ROUNDDOWN((220588.235294118*C8),0)</f>
        <v>14558933</v>
      </c>
      <c r="L66" s="202">
        <f>220588.235294118*C8</f>
        <v>14558933.823529435</v>
      </c>
      <c r="M66" s="203"/>
      <c r="N66" s="73"/>
      <c r="P66" s="203"/>
      <c r="R66" s="203"/>
    </row>
    <row r="67" spans="2:19" ht="14.25" x14ac:dyDescent="0.2">
      <c r="B67" s="205" t="s">
        <v>346</v>
      </c>
      <c r="C67" s="157">
        <f>ROUND(C66*1.15,0)</f>
        <v>1286643</v>
      </c>
      <c r="E67" s="205" t="s">
        <v>346</v>
      </c>
      <c r="F67" s="157">
        <f>ROUND(F66*1.15,0)</f>
        <v>1605021</v>
      </c>
      <c r="I67" s="1">
        <v>176</v>
      </c>
      <c r="J67" s="73" t="s">
        <v>116</v>
      </c>
      <c r="K67" s="233">
        <f>ROUNDDOWN((235294.117647059*C8),0)</f>
        <v>15529529</v>
      </c>
      <c r="L67" s="202">
        <f>235294.117647059*C8</f>
        <v>15529529.411764719</v>
      </c>
      <c r="M67" s="203"/>
      <c r="N67" s="73"/>
      <c r="P67" s="203"/>
      <c r="R67" s="203"/>
    </row>
    <row r="68" spans="2:19" ht="14.25" x14ac:dyDescent="0.2">
      <c r="B68" s="205" t="s">
        <v>347</v>
      </c>
      <c r="C68" s="157">
        <f>ROUND(C67*1.1,0)</f>
        <v>1415307</v>
      </c>
      <c r="E68" s="205" t="s">
        <v>347</v>
      </c>
      <c r="F68" s="157">
        <f>ROUND(F67*1.1,0)-1</f>
        <v>1765522</v>
      </c>
      <c r="I68" s="1">
        <v>176</v>
      </c>
      <c r="J68" s="73" t="s">
        <v>117</v>
      </c>
      <c r="K68" s="233">
        <f>ROUNDDOWN((247058.823529412*C8),0)</f>
        <v>16306005</v>
      </c>
      <c r="L68" s="202">
        <f>247058.823529412*C8</f>
        <v>16306005.882352958</v>
      </c>
      <c r="M68" s="203"/>
      <c r="N68" s="73"/>
      <c r="P68" s="203"/>
      <c r="R68" s="203"/>
    </row>
    <row r="69" spans="2:19" ht="14.25" x14ac:dyDescent="0.2">
      <c r="B69" s="205" t="s">
        <v>348</v>
      </c>
      <c r="C69" s="157">
        <f>ROUND(C68*1.05,0)-1</f>
        <v>1486071</v>
      </c>
      <c r="E69" s="205" t="s">
        <v>348</v>
      </c>
      <c r="F69" s="157">
        <f>ROUND(F68*1.05,0)</f>
        <v>1853798</v>
      </c>
      <c r="I69" s="1">
        <v>176</v>
      </c>
      <c r="J69" s="73" t="s">
        <v>118</v>
      </c>
      <c r="K69" s="233">
        <f>ROUNDUP((258823.529411765*C8),0)</f>
        <v>17082483</v>
      </c>
      <c r="L69" s="202">
        <f>258823.529411765*C8</f>
        <v>17082482.352941196</v>
      </c>
      <c r="M69" s="203"/>
      <c r="N69" s="73"/>
      <c r="P69" s="203"/>
      <c r="R69" s="203"/>
    </row>
    <row r="70" spans="2:19" ht="14.25" x14ac:dyDescent="0.2">
      <c r="B70" s="205" t="s">
        <v>349</v>
      </c>
      <c r="C70" s="157">
        <f>ROUND(C69*1.05,0)</f>
        <v>1560375</v>
      </c>
      <c r="E70" s="205" t="s">
        <v>349</v>
      </c>
      <c r="F70" s="157">
        <f>ROUND(F69*1.05,0)</f>
        <v>1946488</v>
      </c>
      <c r="I70" s="1">
        <v>176</v>
      </c>
      <c r="J70" s="73" t="s">
        <v>119</v>
      </c>
      <c r="K70" s="233">
        <f>ROUNDUP((294117.647058824*C8),0)</f>
        <v>19411912</v>
      </c>
      <c r="L70" s="202">
        <f>294117.647058824*C8</f>
        <v>19411911.764705915</v>
      </c>
      <c r="M70" s="203"/>
      <c r="N70" s="73"/>
      <c r="P70" s="203"/>
      <c r="R70" s="203"/>
    </row>
    <row r="71" spans="2:19" x14ac:dyDescent="0.2">
      <c r="B71" s="205" t="s">
        <v>120</v>
      </c>
      <c r="C71" s="157">
        <f>ROUND(C70*1.05,0)</f>
        <v>1638394</v>
      </c>
      <c r="E71" s="205" t="s">
        <v>120</v>
      </c>
      <c r="F71" s="157">
        <f>ROUND(F70*1.05,0)</f>
        <v>2043812</v>
      </c>
    </row>
    <row r="72" spans="2:19" x14ac:dyDescent="0.2">
      <c r="I72" s="73" t="s">
        <v>121</v>
      </c>
    </row>
    <row r="73" spans="2:19" ht="25.5" x14ac:dyDescent="0.2">
      <c r="J73" s="73" t="s">
        <v>101</v>
      </c>
      <c r="L73" s="76" t="s">
        <v>102</v>
      </c>
      <c r="R73" s="77" t="s">
        <v>122</v>
      </c>
    </row>
    <row r="74" spans="2:19" ht="14.25" x14ac:dyDescent="0.2">
      <c r="B74" s="54" t="s">
        <v>123</v>
      </c>
      <c r="J74" s="73" t="s">
        <v>124</v>
      </c>
      <c r="K74" s="1">
        <v>13.5</v>
      </c>
      <c r="L74" s="206">
        <f t="shared" ref="L74:L79" si="0">477.647058823529*$C$8</f>
        <v>31524.944705882328</v>
      </c>
      <c r="M74" s="234">
        <v>28680</v>
      </c>
      <c r="N74" s="176">
        <f t="shared" ref="N74:N90" si="1">K74*M74</f>
        <v>387180</v>
      </c>
      <c r="O74" s="74">
        <v>1</v>
      </c>
      <c r="P74" s="235">
        <v>1</v>
      </c>
      <c r="Q74" s="236">
        <v>15</v>
      </c>
      <c r="R74" s="237">
        <f>ROUNDDOWN(N74*80%,0)</f>
        <v>309744</v>
      </c>
      <c r="S74" s="176">
        <f>N74*80%</f>
        <v>309744</v>
      </c>
    </row>
    <row r="75" spans="2:19" ht="14.25" x14ac:dyDescent="0.2">
      <c r="B75" s="1" t="s">
        <v>125</v>
      </c>
      <c r="C75" s="78">
        <f>2.5*C6</f>
        <v>825006.25</v>
      </c>
      <c r="J75" s="73" t="s">
        <v>126</v>
      </c>
      <c r="K75" s="1">
        <v>22.5</v>
      </c>
      <c r="L75" s="206">
        <f t="shared" si="0"/>
        <v>31524.944705882328</v>
      </c>
      <c r="M75" s="234">
        <v>28680</v>
      </c>
      <c r="N75" s="176">
        <f t="shared" si="1"/>
        <v>645300</v>
      </c>
      <c r="O75" s="74">
        <v>1</v>
      </c>
      <c r="P75" s="238">
        <v>16</v>
      </c>
      <c r="Q75" s="239">
        <v>50</v>
      </c>
      <c r="R75" s="237">
        <f>ROUNDUP(N75*78%,0)</f>
        <v>503334</v>
      </c>
      <c r="S75" s="176">
        <f>N75*78%</f>
        <v>503334</v>
      </c>
    </row>
    <row r="76" spans="2:19" ht="14.25" x14ac:dyDescent="0.2">
      <c r="B76" s="1" t="s">
        <v>127</v>
      </c>
      <c r="J76" s="73" t="s">
        <v>128</v>
      </c>
      <c r="K76" s="1">
        <v>45</v>
      </c>
      <c r="L76" s="206">
        <f t="shared" si="0"/>
        <v>31524.944705882328</v>
      </c>
      <c r="M76" s="234">
        <v>28680</v>
      </c>
      <c r="N76" s="176">
        <f t="shared" si="1"/>
        <v>1290600</v>
      </c>
      <c r="O76" s="74">
        <v>1</v>
      </c>
      <c r="P76" s="238">
        <v>51</v>
      </c>
      <c r="Q76" s="239">
        <v>100</v>
      </c>
      <c r="R76" s="237">
        <f>ROUNDUP(N76*76%,0)</f>
        <v>980856</v>
      </c>
      <c r="S76" s="176">
        <f>N76*76%</f>
        <v>980856</v>
      </c>
    </row>
    <row r="77" spans="2:19" ht="14.25" x14ac:dyDescent="0.2">
      <c r="B77" s="1" t="s">
        <v>129</v>
      </c>
      <c r="D77" s="1" t="s">
        <v>8</v>
      </c>
      <c r="E77" s="1" t="s">
        <v>9</v>
      </c>
      <c r="J77" s="73" t="s">
        <v>130</v>
      </c>
      <c r="K77" s="1">
        <v>67.5</v>
      </c>
      <c r="L77" s="206">
        <f t="shared" si="0"/>
        <v>31524.944705882328</v>
      </c>
      <c r="M77" s="234">
        <v>28680</v>
      </c>
      <c r="N77" s="176">
        <f t="shared" si="1"/>
        <v>1935900</v>
      </c>
      <c r="O77" s="74">
        <v>1</v>
      </c>
      <c r="P77" s="238">
        <v>101</v>
      </c>
      <c r="Q77" s="239">
        <v>150</v>
      </c>
      <c r="R77" s="237">
        <f>ROUNDUP(N77*74%,0)</f>
        <v>1432566</v>
      </c>
      <c r="S77" s="176">
        <f>N77*74%</f>
        <v>1432566</v>
      </c>
    </row>
    <row r="78" spans="2:19" ht="14.25" x14ac:dyDescent="0.2">
      <c r="B78" s="79">
        <f>1000000*C8</f>
        <v>66000500</v>
      </c>
      <c r="C78" s="1">
        <v>1.4</v>
      </c>
      <c r="D78" s="79">
        <f>B78*C78%</f>
        <v>924006.99999999988</v>
      </c>
      <c r="E78" s="79">
        <f>D78</f>
        <v>924006.99999999988</v>
      </c>
      <c r="J78" s="73" t="s">
        <v>131</v>
      </c>
      <c r="K78" s="1">
        <v>135</v>
      </c>
      <c r="L78" s="206">
        <f t="shared" si="0"/>
        <v>31524.944705882328</v>
      </c>
      <c r="M78" s="234">
        <v>28680</v>
      </c>
      <c r="N78" s="176">
        <f t="shared" si="1"/>
        <v>3871800</v>
      </c>
      <c r="O78" s="74">
        <v>1</v>
      </c>
      <c r="P78" s="207">
        <v>151</v>
      </c>
      <c r="Q78" s="208">
        <v>200</v>
      </c>
      <c r="R78" s="237">
        <f>ROUNDUP(N78*72%,0)</f>
        <v>2787696</v>
      </c>
      <c r="S78" s="176">
        <f>N78*72%</f>
        <v>2787696</v>
      </c>
    </row>
    <row r="79" spans="2:19" ht="14.25" x14ac:dyDescent="0.2">
      <c r="B79" s="79">
        <f>5000000*C8</f>
        <v>330002500</v>
      </c>
      <c r="C79" s="1">
        <v>1.3</v>
      </c>
      <c r="D79" s="79">
        <f>(B79-B78)*C79%</f>
        <v>3432026.0000000005</v>
      </c>
      <c r="E79" s="79">
        <f>E78+D79</f>
        <v>4356033</v>
      </c>
      <c r="J79" s="73" t="s">
        <v>132</v>
      </c>
      <c r="K79" s="1">
        <v>176</v>
      </c>
      <c r="L79" s="206">
        <f t="shared" si="0"/>
        <v>31524.944705882328</v>
      </c>
      <c r="M79" s="234">
        <v>28680</v>
      </c>
      <c r="N79" s="176">
        <f t="shared" si="1"/>
        <v>5047680</v>
      </c>
      <c r="O79" s="74">
        <v>1</v>
      </c>
      <c r="P79" s="209">
        <v>201</v>
      </c>
      <c r="Q79" s="210">
        <v>300</v>
      </c>
      <c r="R79" s="237">
        <f>ROUNDUP(N79*70%,0)</f>
        <v>3533376</v>
      </c>
      <c r="S79" s="176">
        <f>N79*70%</f>
        <v>3533376</v>
      </c>
    </row>
    <row r="80" spans="2:19" ht="14.25" x14ac:dyDescent="0.2">
      <c r="B80" s="79">
        <f>10000000*C8</f>
        <v>660005000</v>
      </c>
      <c r="C80" s="1">
        <v>1.2</v>
      </c>
      <c r="D80" s="79">
        <f>(B80-B79)*C80%</f>
        <v>3960030</v>
      </c>
      <c r="E80" s="79">
        <f>E79+D80</f>
        <v>8316063</v>
      </c>
      <c r="J80" s="73" t="s">
        <v>133</v>
      </c>
      <c r="K80" s="1">
        <v>192</v>
      </c>
      <c r="L80" s="211">
        <f>581.851345189239*$C$8</f>
        <v>38402.479708162376</v>
      </c>
      <c r="M80" s="234">
        <v>34911</v>
      </c>
      <c r="N80" s="176">
        <f t="shared" si="1"/>
        <v>6702912</v>
      </c>
      <c r="O80" s="212">
        <f t="shared" ref="O80:O90" si="2">Q80/P80</f>
        <v>1.3289036544850499</v>
      </c>
      <c r="P80" s="213">
        <v>301</v>
      </c>
      <c r="Q80" s="214">
        <v>400</v>
      </c>
      <c r="R80" s="237">
        <f>ROUNDDOWN(N80*68%,0)</f>
        <v>4557980</v>
      </c>
      <c r="S80" s="176">
        <f>N80*68%</f>
        <v>4557980.16</v>
      </c>
    </row>
    <row r="81" spans="2:19" ht="14.25" x14ac:dyDescent="0.2">
      <c r="B81" s="79">
        <f>30000000*C8</f>
        <v>1980015000</v>
      </c>
      <c r="C81" s="1">
        <v>1.1000000000000001</v>
      </c>
      <c r="D81" s="79">
        <f>(B81-B80)*C81%</f>
        <v>14520110.000000002</v>
      </c>
      <c r="E81" s="79">
        <f>E80+D81</f>
        <v>22836173</v>
      </c>
      <c r="J81" s="73" t="s">
        <v>109</v>
      </c>
      <c r="K81" s="1">
        <v>192</v>
      </c>
      <c r="L81" s="211">
        <f>725.500430410522*$C$8</f>
        <v>47883.391157309656</v>
      </c>
      <c r="M81" s="234">
        <v>43530</v>
      </c>
      <c r="N81" s="176">
        <f t="shared" si="1"/>
        <v>8357760</v>
      </c>
      <c r="O81" s="215">
        <f t="shared" si="2"/>
        <v>1.2468827930174564</v>
      </c>
      <c r="P81" s="207">
        <v>401</v>
      </c>
      <c r="Q81" s="208">
        <v>500</v>
      </c>
      <c r="R81" s="237">
        <f>ROUNDUP(N81*66%,0)</f>
        <v>5516122</v>
      </c>
      <c r="S81" s="176">
        <f>N81*66%</f>
        <v>5516121.6000000006</v>
      </c>
    </row>
    <row r="82" spans="2:19" ht="14.25" x14ac:dyDescent="0.2">
      <c r="B82" s="79">
        <f>100000000*C8</f>
        <v>6600050000</v>
      </c>
      <c r="C82" s="1">
        <v>1</v>
      </c>
      <c r="D82" s="79">
        <f>(B82-B81)*C82%</f>
        <v>46200350</v>
      </c>
      <c r="E82" s="79">
        <f>E81+D82</f>
        <v>69036523</v>
      </c>
      <c r="J82" s="73" t="s">
        <v>134</v>
      </c>
      <c r="K82" s="1">
        <v>192</v>
      </c>
      <c r="L82" s="211">
        <f>868.862790910805*$C$8</f>
        <v>57345.378631508582</v>
      </c>
      <c r="M82" s="234">
        <v>52132</v>
      </c>
      <c r="N82" s="176">
        <f t="shared" si="1"/>
        <v>10009344</v>
      </c>
      <c r="O82" s="215">
        <f t="shared" si="2"/>
        <v>1.1976047904191616</v>
      </c>
      <c r="P82" s="207">
        <v>501</v>
      </c>
      <c r="Q82" s="208">
        <v>600</v>
      </c>
      <c r="R82" s="237">
        <f>ROUNDDOWN(N82*64%,0)</f>
        <v>6405980</v>
      </c>
      <c r="S82" s="176">
        <f>N82*64%</f>
        <v>6405980.1600000001</v>
      </c>
    </row>
    <row r="83" spans="2:19" ht="14.25" x14ac:dyDescent="0.2">
      <c r="C83" s="1">
        <v>0.9</v>
      </c>
      <c r="J83" s="73" t="s">
        <v>135</v>
      </c>
      <c r="K83" s="1">
        <v>192</v>
      </c>
      <c r="L83" s="211">
        <f>1011.98661170976*$C$8</f>
        <v>66791.622366150026</v>
      </c>
      <c r="M83" s="234">
        <v>60719</v>
      </c>
      <c r="N83" s="176">
        <f t="shared" si="1"/>
        <v>11658048</v>
      </c>
      <c r="O83" s="215">
        <f t="shared" si="2"/>
        <v>1.1647254575707155</v>
      </c>
      <c r="P83" s="207">
        <v>601</v>
      </c>
      <c r="Q83" s="208">
        <v>700</v>
      </c>
      <c r="R83" s="237">
        <f>ROUNDUP(N83*62%,0)</f>
        <v>7227990</v>
      </c>
      <c r="S83" s="176">
        <f>N83*62%</f>
        <v>7227989.7599999998</v>
      </c>
    </row>
    <row r="84" spans="2:19" ht="14.25" x14ac:dyDescent="0.2">
      <c r="J84" s="73" t="s">
        <v>136</v>
      </c>
      <c r="K84" s="1">
        <v>192</v>
      </c>
      <c r="L84" s="211">
        <f>1154.90626158032*$C$8</f>
        <v>76224.390717431917</v>
      </c>
      <c r="M84" s="234">
        <v>69294</v>
      </c>
      <c r="N84" s="176">
        <f t="shared" si="1"/>
        <v>13304448</v>
      </c>
      <c r="O84" s="215">
        <f t="shared" si="2"/>
        <v>1.1412268188302426</v>
      </c>
      <c r="P84" s="207">
        <v>701</v>
      </c>
      <c r="Q84" s="208">
        <v>800</v>
      </c>
      <c r="R84" s="237">
        <f>ROUNDUP(N84*60%,0)</f>
        <v>7982669</v>
      </c>
      <c r="S84" s="176">
        <f>N84*60%</f>
        <v>7982668.7999999998</v>
      </c>
    </row>
    <row r="85" spans="2:19" ht="14.25" x14ac:dyDescent="0.2">
      <c r="B85" s="1" t="s">
        <v>137</v>
      </c>
      <c r="D85" s="1" t="s">
        <v>8</v>
      </c>
      <c r="E85" s="1" t="s">
        <v>9</v>
      </c>
      <c r="J85" s="73" t="s">
        <v>138</v>
      </c>
      <c r="K85" s="1">
        <v>192</v>
      </c>
      <c r="L85" s="211">
        <f>1297.64748492171*$C$8</f>
        <v>85645.382828575326</v>
      </c>
      <c r="M85" s="234">
        <v>77859</v>
      </c>
      <c r="N85" s="176">
        <f t="shared" si="1"/>
        <v>14948928</v>
      </c>
      <c r="O85" s="215">
        <f t="shared" si="2"/>
        <v>1.1235955056179776</v>
      </c>
      <c r="P85" s="207">
        <v>801</v>
      </c>
      <c r="Q85" s="208">
        <v>900</v>
      </c>
      <c r="R85" s="237">
        <f>ROUNDDOWN(N85*58%,0)</f>
        <v>8670378</v>
      </c>
      <c r="S85" s="176">
        <f>N85*58%</f>
        <v>8670378.2400000002</v>
      </c>
    </row>
    <row r="86" spans="2:19" ht="14.25" x14ac:dyDescent="0.2">
      <c r="B86" s="79">
        <f>1000000*C8</f>
        <v>66000500</v>
      </c>
      <c r="C86" s="1">
        <v>1.7</v>
      </c>
      <c r="D86" s="79">
        <f>B86*C86%</f>
        <v>1122008.5</v>
      </c>
      <c r="E86" s="79">
        <f>D86</f>
        <v>1122008.5</v>
      </c>
      <c r="J86" s="73" t="s">
        <v>139</v>
      </c>
      <c r="K86" s="1">
        <v>192</v>
      </c>
      <c r="L86" s="211">
        <f>1440.23028293197*$C$8</f>
        <v>95055.918788651485</v>
      </c>
      <c r="M86" s="234">
        <v>86414</v>
      </c>
      <c r="N86" s="176">
        <f t="shared" si="1"/>
        <v>16591488</v>
      </c>
      <c r="O86" s="215">
        <f t="shared" si="2"/>
        <v>1.1098779134295227</v>
      </c>
      <c r="P86" s="207">
        <v>901</v>
      </c>
      <c r="Q86" s="208">
        <v>1000</v>
      </c>
      <c r="R86" s="237">
        <f>ROUNDDOWN(N86*56%,0)</f>
        <v>9291233</v>
      </c>
      <c r="S86" s="176">
        <f>N86*56%</f>
        <v>9291233.2800000012</v>
      </c>
    </row>
    <row r="87" spans="2:19" ht="14.25" x14ac:dyDescent="0.2">
      <c r="B87" s="79">
        <f>5000000*C8</f>
        <v>330002500</v>
      </c>
      <c r="C87" s="1">
        <v>1.6</v>
      </c>
      <c r="D87" s="79">
        <f>(B87-B86)*C87%</f>
        <v>4224032</v>
      </c>
      <c r="E87" s="79">
        <f>E86+D87</f>
        <v>5346040.5</v>
      </c>
      <c r="J87" s="73" t="s">
        <v>140</v>
      </c>
      <c r="K87" s="1">
        <v>192</v>
      </c>
      <c r="L87" s="211">
        <f>1798.48936430067*$C$8</f>
        <v>118701.19728852638</v>
      </c>
      <c r="M87" s="234">
        <v>107909</v>
      </c>
      <c r="N87" s="176">
        <f t="shared" si="1"/>
        <v>20718528</v>
      </c>
      <c r="O87" s="215">
        <f t="shared" si="2"/>
        <v>1.2487512487512487</v>
      </c>
      <c r="P87" s="207">
        <v>1001</v>
      </c>
      <c r="Q87" s="208">
        <v>1250</v>
      </c>
      <c r="R87" s="237">
        <f>ROUNDDOWN(N87*54%,0)</f>
        <v>11188005</v>
      </c>
      <c r="S87" s="176">
        <f>N87*54%</f>
        <v>11188005.120000001</v>
      </c>
    </row>
    <row r="88" spans="2:19" ht="14.25" x14ac:dyDescent="0.2">
      <c r="B88" s="79">
        <f>10000000*C8</f>
        <v>660005000</v>
      </c>
      <c r="C88" s="1">
        <v>1.5</v>
      </c>
      <c r="D88" s="79">
        <f>(B88-B87)*C88%</f>
        <v>4950037.5</v>
      </c>
      <c r="E88" s="79">
        <f>E87+D88</f>
        <v>10296078</v>
      </c>
      <c r="J88" s="73" t="s">
        <v>141</v>
      </c>
      <c r="K88" s="1">
        <v>192</v>
      </c>
      <c r="L88" s="211">
        <f>2156.46206750679*$C$8</f>
        <v>142327.57468648191</v>
      </c>
      <c r="M88" s="234">
        <v>129388</v>
      </c>
      <c r="N88" s="176">
        <f t="shared" si="1"/>
        <v>24842496</v>
      </c>
      <c r="O88" s="215">
        <f t="shared" si="2"/>
        <v>1.1990407673860912</v>
      </c>
      <c r="P88" s="207">
        <v>1251</v>
      </c>
      <c r="Q88" s="208">
        <v>1500</v>
      </c>
      <c r="R88" s="237">
        <f>ROUNDUP(N88*52%,0)</f>
        <v>12918098</v>
      </c>
      <c r="S88" s="176">
        <f>N88*52%</f>
        <v>12918097.92</v>
      </c>
    </row>
    <row r="89" spans="2:19" ht="14.25" x14ac:dyDescent="0.2">
      <c r="B89" s="79">
        <f>30000000*C8</f>
        <v>1980015000</v>
      </c>
      <c r="C89" s="1">
        <v>1.4</v>
      </c>
      <c r="D89" s="79">
        <f>(B89-B88)*C89%</f>
        <v>18480139.999999996</v>
      </c>
      <c r="E89" s="79">
        <f>E88+D89</f>
        <v>28776217.999999996</v>
      </c>
      <c r="J89" s="73" t="s">
        <v>142</v>
      </c>
      <c r="K89" s="1">
        <v>192</v>
      </c>
      <c r="L89" s="211">
        <f>2873.36717855669*$C$8</f>
        <v>189643.67046833082</v>
      </c>
      <c r="M89" s="234">
        <v>172402</v>
      </c>
      <c r="N89" s="176">
        <f t="shared" si="1"/>
        <v>33101184</v>
      </c>
      <c r="O89" s="215">
        <f t="shared" si="2"/>
        <v>1.3324450366422385</v>
      </c>
      <c r="P89" s="207">
        <v>1501</v>
      </c>
      <c r="Q89" s="208">
        <v>2000</v>
      </c>
      <c r="R89" s="237">
        <f>ROUNDDOWN(N89*50%,0)</f>
        <v>16550592</v>
      </c>
      <c r="S89" s="176">
        <f>N89*50%</f>
        <v>16550592</v>
      </c>
    </row>
    <row r="90" spans="2:19" ht="14.25" x14ac:dyDescent="0.2">
      <c r="B90" s="79">
        <f>100000000*C8</f>
        <v>6600050000</v>
      </c>
      <c r="C90" s="1">
        <v>1.3</v>
      </c>
      <c r="D90" s="79">
        <f>(B90-B89)*C90%</f>
        <v>60060455.000000007</v>
      </c>
      <c r="E90" s="79">
        <f>E89+D90</f>
        <v>88836673</v>
      </c>
      <c r="J90" s="73" t="s">
        <v>143</v>
      </c>
      <c r="K90" s="1">
        <v>192</v>
      </c>
      <c r="L90" s="216">
        <f>3589.91401618777*$C$8</f>
        <v>236936.12002540092</v>
      </c>
      <c r="M90" s="234">
        <v>215395</v>
      </c>
      <c r="N90" s="176">
        <f t="shared" si="1"/>
        <v>41355840</v>
      </c>
      <c r="O90" s="217">
        <f t="shared" si="2"/>
        <v>1.249375312343828</v>
      </c>
      <c r="P90" s="209">
        <v>2001</v>
      </c>
      <c r="Q90" s="210">
        <v>2500</v>
      </c>
      <c r="R90" s="237">
        <f>ROUNDDOWN(N90*48%,0)</f>
        <v>19850803</v>
      </c>
      <c r="S90" s="176">
        <f>N90*48%</f>
        <v>19850803.199999999</v>
      </c>
    </row>
    <row r="91" spans="2:19" x14ac:dyDescent="0.2">
      <c r="C91" s="1">
        <v>1.2</v>
      </c>
    </row>
    <row r="93" spans="2:19" x14ac:dyDescent="0.2">
      <c r="B93" s="266" t="s">
        <v>144</v>
      </c>
      <c r="C93" s="192">
        <v>1000000</v>
      </c>
      <c r="D93" s="193">
        <f>C93</f>
        <v>1000000</v>
      </c>
      <c r="E93" s="218"/>
      <c r="F93" s="193">
        <f>C48</f>
        <v>538452</v>
      </c>
      <c r="G93" s="195">
        <f>F93</f>
        <v>538452</v>
      </c>
      <c r="I93" s="73" t="s">
        <v>350</v>
      </c>
    </row>
    <row r="94" spans="2:19" x14ac:dyDescent="0.2">
      <c r="B94" s="267"/>
      <c r="C94" s="188">
        <f>D94-D93</f>
        <v>4000000</v>
      </c>
      <c r="D94" s="196">
        <v>5000000</v>
      </c>
      <c r="E94" s="17">
        <v>0.5</v>
      </c>
      <c r="F94" s="197">
        <f>C94*E94%</f>
        <v>20000</v>
      </c>
      <c r="G94" s="198">
        <f>G93+F94</f>
        <v>558452</v>
      </c>
    </row>
    <row r="95" spans="2:19" x14ac:dyDescent="0.2">
      <c r="B95" s="267"/>
      <c r="C95" s="188">
        <f>D95-D94</f>
        <v>5000000</v>
      </c>
      <c r="D95" s="196">
        <v>10000000</v>
      </c>
      <c r="E95" s="17">
        <v>0.4</v>
      </c>
      <c r="F95" s="197">
        <f>C95*E95%</f>
        <v>20000</v>
      </c>
      <c r="G95" s="198">
        <f>G94+F95</f>
        <v>578452</v>
      </c>
      <c r="L95" s="73" t="s">
        <v>10</v>
      </c>
      <c r="M95" s="73" t="s">
        <v>8</v>
      </c>
      <c r="N95" s="73" t="s">
        <v>9</v>
      </c>
    </row>
    <row r="96" spans="2:19" x14ac:dyDescent="0.2">
      <c r="B96" s="267"/>
      <c r="C96" s="188">
        <f>D96-D95</f>
        <v>10000000</v>
      </c>
      <c r="D96" s="196">
        <v>20000000</v>
      </c>
      <c r="E96" s="17">
        <v>0.3</v>
      </c>
      <c r="F96" s="197">
        <f>C96*E96%</f>
        <v>30000</v>
      </c>
      <c r="G96" s="198">
        <f>G95+F96</f>
        <v>608452</v>
      </c>
      <c r="J96" s="79">
        <f>100000*C8</f>
        <v>6600050</v>
      </c>
      <c r="K96" s="79">
        <f>J96</f>
        <v>6600050</v>
      </c>
      <c r="L96" s="1">
        <v>10</v>
      </c>
      <c r="M96" s="79">
        <f t="shared" ref="M96:M105" si="3">J96*L96%</f>
        <v>660005</v>
      </c>
      <c r="N96" s="79">
        <f>M96</f>
        <v>660005</v>
      </c>
    </row>
    <row r="97" spans="1:14" x14ac:dyDescent="0.2">
      <c r="B97" s="268"/>
      <c r="C97" s="190">
        <f>D97-D96</f>
        <v>20000000</v>
      </c>
      <c r="D97" s="196">
        <v>40000000</v>
      </c>
      <c r="E97" s="200">
        <v>0.2</v>
      </c>
      <c r="F97" s="197">
        <f>C97*E97%</f>
        <v>40000</v>
      </c>
      <c r="G97" s="198">
        <f>G96+F97</f>
        <v>648452</v>
      </c>
      <c r="J97" s="79">
        <f t="shared" ref="J97:J105" si="4">K97-K96</f>
        <v>6600050</v>
      </c>
      <c r="K97" s="79">
        <f>200000*C8</f>
        <v>13200100</v>
      </c>
      <c r="L97" s="1">
        <v>9</v>
      </c>
      <c r="M97" s="79">
        <f t="shared" si="3"/>
        <v>594004.5</v>
      </c>
      <c r="N97" s="79">
        <f t="shared" ref="N97:N105" si="5">N96+M97</f>
        <v>1254009.5</v>
      </c>
    </row>
    <row r="98" spans="1:14" x14ac:dyDescent="0.2">
      <c r="C98" s="273" t="s">
        <v>145</v>
      </c>
      <c r="D98" s="273"/>
      <c r="E98" s="143">
        <v>0.1</v>
      </c>
      <c r="J98" s="79">
        <f t="shared" si="4"/>
        <v>19800150</v>
      </c>
      <c r="K98" s="79">
        <f>500000*C8</f>
        <v>33000250</v>
      </c>
      <c r="L98" s="1">
        <v>8</v>
      </c>
      <c r="M98" s="79">
        <f t="shared" si="3"/>
        <v>1584012</v>
      </c>
      <c r="N98" s="79">
        <f t="shared" si="5"/>
        <v>2838021.5</v>
      </c>
    </row>
    <row r="99" spans="1:14" x14ac:dyDescent="0.2">
      <c r="J99" s="79">
        <f t="shared" si="4"/>
        <v>33000250</v>
      </c>
      <c r="K99" s="79">
        <f>1000000*C8</f>
        <v>66000500</v>
      </c>
      <c r="L99" s="1">
        <v>7</v>
      </c>
      <c r="M99" s="79">
        <f t="shared" si="3"/>
        <v>2310017.5</v>
      </c>
      <c r="N99" s="79">
        <f t="shared" si="5"/>
        <v>5148039</v>
      </c>
    </row>
    <row r="100" spans="1:14" x14ac:dyDescent="0.2">
      <c r="B100" s="73" t="s">
        <v>146</v>
      </c>
      <c r="J100" s="79">
        <f t="shared" si="4"/>
        <v>66000500</v>
      </c>
      <c r="K100" s="79">
        <f>2000000*C8</f>
        <v>132001000</v>
      </c>
      <c r="L100" s="1">
        <v>6</v>
      </c>
      <c r="M100" s="79">
        <f t="shared" si="3"/>
        <v>3960030</v>
      </c>
      <c r="N100" s="79">
        <f t="shared" si="5"/>
        <v>9108069</v>
      </c>
    </row>
    <row r="101" spans="1:14" x14ac:dyDescent="0.2">
      <c r="C101" s="73" t="s">
        <v>147</v>
      </c>
      <c r="D101" s="73" t="s">
        <v>148</v>
      </c>
      <c r="E101" s="73" t="s">
        <v>149</v>
      </c>
      <c r="F101" s="73" t="s">
        <v>150</v>
      </c>
      <c r="G101" s="73" t="s">
        <v>18</v>
      </c>
      <c r="J101" s="79">
        <f t="shared" si="4"/>
        <v>198001500</v>
      </c>
      <c r="K101" s="79">
        <f>5000000*C8</f>
        <v>330002500</v>
      </c>
      <c r="L101" s="1">
        <v>5</v>
      </c>
      <c r="M101" s="79">
        <f t="shared" si="3"/>
        <v>9900075</v>
      </c>
      <c r="N101" s="79">
        <f t="shared" si="5"/>
        <v>19008144</v>
      </c>
    </row>
    <row r="102" spans="1:14" x14ac:dyDescent="0.2">
      <c r="A102" s="73" t="s">
        <v>151</v>
      </c>
      <c r="B102" s="221">
        <v>1144238</v>
      </c>
      <c r="C102" s="1">
        <v>1</v>
      </c>
      <c r="E102" s="26">
        <f>B102</f>
        <v>1144238</v>
      </c>
      <c r="F102" s="17">
        <v>4</v>
      </c>
      <c r="G102" s="26">
        <f>B104</f>
        <v>1220995.8185131522</v>
      </c>
      <c r="J102" s="79">
        <f t="shared" si="4"/>
        <v>330002500</v>
      </c>
      <c r="K102" s="79">
        <f>10000000*C8</f>
        <v>660005000</v>
      </c>
      <c r="L102" s="1">
        <v>4</v>
      </c>
      <c r="M102" s="79">
        <f t="shared" si="3"/>
        <v>13200100</v>
      </c>
      <c r="N102" s="79">
        <f t="shared" si="5"/>
        <v>32208244</v>
      </c>
    </row>
    <row r="103" spans="1:14" x14ac:dyDescent="0.2">
      <c r="C103" s="1">
        <v>10</v>
      </c>
      <c r="D103" s="1">
        <v>1.3</v>
      </c>
      <c r="E103" s="26">
        <f t="shared" ref="E103:E123" si="6">E102*D103</f>
        <v>1487509.4000000001</v>
      </c>
      <c r="F103" s="17">
        <v>4</v>
      </c>
      <c r="G103" s="26">
        <f t="shared" ref="G103:G123" si="7">E103+((E103/2)*(4-1)*0.1)/(5^(1/2))</f>
        <v>1587294.5640670978</v>
      </c>
      <c r="J103" s="79">
        <f t="shared" si="4"/>
        <v>660005000</v>
      </c>
      <c r="K103" s="79">
        <f>20000000*C8</f>
        <v>1320010000</v>
      </c>
      <c r="L103" s="1">
        <v>3</v>
      </c>
      <c r="M103" s="79">
        <f t="shared" si="3"/>
        <v>19800150</v>
      </c>
      <c r="N103" s="79">
        <f t="shared" si="5"/>
        <v>52008394</v>
      </c>
    </row>
    <row r="104" spans="1:14" x14ac:dyDescent="0.2">
      <c r="A104" s="73" t="s">
        <v>18</v>
      </c>
      <c r="B104" s="26">
        <f>B102+((B102/2)*(4-1)*0.1)/(5^(1/2))</f>
        <v>1220995.8185131522</v>
      </c>
      <c r="C104" s="1">
        <v>25</v>
      </c>
      <c r="D104" s="1">
        <v>1.3</v>
      </c>
      <c r="E104" s="26">
        <f t="shared" si="6"/>
        <v>1933762.2200000002</v>
      </c>
      <c r="F104" s="17">
        <v>4</v>
      </c>
      <c r="G104" s="26">
        <f t="shared" si="7"/>
        <v>2063482.9332872273</v>
      </c>
      <c r="J104" s="79">
        <f t="shared" si="4"/>
        <v>1320010000</v>
      </c>
      <c r="K104" s="79">
        <f>40000000*C8</f>
        <v>2640020000</v>
      </c>
      <c r="L104" s="1">
        <v>2</v>
      </c>
      <c r="M104" s="79">
        <f t="shared" si="3"/>
        <v>26400200</v>
      </c>
      <c r="N104" s="79">
        <f t="shared" si="5"/>
        <v>78408594</v>
      </c>
    </row>
    <row r="105" spans="1:14" x14ac:dyDescent="0.2">
      <c r="C105" s="1">
        <v>50</v>
      </c>
      <c r="D105" s="1">
        <v>1.25</v>
      </c>
      <c r="E105" s="26">
        <f t="shared" si="6"/>
        <v>2417202.7750000004</v>
      </c>
      <c r="F105" s="17">
        <v>4</v>
      </c>
      <c r="G105" s="26">
        <f t="shared" si="7"/>
        <v>2579353.6666090344</v>
      </c>
      <c r="J105" s="79">
        <f t="shared" si="4"/>
        <v>2640020000</v>
      </c>
      <c r="K105" s="79">
        <f>80000000*C8</f>
        <v>5280040000</v>
      </c>
      <c r="L105" s="1">
        <v>1</v>
      </c>
      <c r="M105" s="79">
        <f t="shared" si="3"/>
        <v>26400200</v>
      </c>
      <c r="N105" s="79">
        <f t="shared" si="5"/>
        <v>104808794</v>
      </c>
    </row>
    <row r="106" spans="1:14" x14ac:dyDescent="0.2">
      <c r="B106" s="79">
        <f>ROUNDDOWN(B104,0)</f>
        <v>1220995</v>
      </c>
      <c r="C106" s="1">
        <v>100</v>
      </c>
      <c r="D106" s="1">
        <v>1.2</v>
      </c>
      <c r="E106" s="26">
        <f t="shared" si="6"/>
        <v>2900643.3300000005</v>
      </c>
      <c r="F106" s="17">
        <v>4</v>
      </c>
      <c r="G106" s="26">
        <f t="shared" si="7"/>
        <v>3095224.3999308413</v>
      </c>
      <c r="L106" s="1">
        <v>0.5</v>
      </c>
    </row>
    <row r="107" spans="1:14" x14ac:dyDescent="0.2">
      <c r="C107" s="1">
        <v>150</v>
      </c>
      <c r="D107" s="1">
        <v>1.2</v>
      </c>
      <c r="E107" s="26">
        <f t="shared" si="6"/>
        <v>3480771.9960000007</v>
      </c>
      <c r="F107" s="17">
        <v>4</v>
      </c>
      <c r="G107" s="26">
        <f t="shared" si="7"/>
        <v>3714269.2799170096</v>
      </c>
    </row>
    <row r="108" spans="1:14" x14ac:dyDescent="0.2">
      <c r="C108" s="1">
        <v>200</v>
      </c>
      <c r="D108" s="1">
        <v>1.25</v>
      </c>
      <c r="E108" s="26">
        <f t="shared" si="6"/>
        <v>4350964.995000001</v>
      </c>
      <c r="F108" s="17">
        <v>4</v>
      </c>
      <c r="G108" s="26">
        <f t="shared" si="7"/>
        <v>4642836.5998962624</v>
      </c>
      <c r="I108" s="73" t="s">
        <v>375</v>
      </c>
    </row>
    <row r="109" spans="1:14" x14ac:dyDescent="0.2">
      <c r="C109" s="1">
        <v>250</v>
      </c>
      <c r="D109" s="1">
        <v>1.25</v>
      </c>
      <c r="E109" s="26">
        <f t="shared" si="6"/>
        <v>5438706.2437500013</v>
      </c>
      <c r="F109" s="17">
        <v>4</v>
      </c>
      <c r="G109" s="26">
        <f t="shared" si="7"/>
        <v>5803545.7498703273</v>
      </c>
    </row>
    <row r="110" spans="1:14" x14ac:dyDescent="0.2">
      <c r="C110" s="1">
        <v>300</v>
      </c>
      <c r="D110" s="1">
        <v>1.25</v>
      </c>
      <c r="E110" s="26">
        <f t="shared" si="6"/>
        <v>6798382.8046875019</v>
      </c>
      <c r="F110" s="17">
        <v>4</v>
      </c>
      <c r="G110" s="26">
        <f t="shared" si="7"/>
        <v>7254432.1873379098</v>
      </c>
      <c r="J110" s="75" t="s">
        <v>8</v>
      </c>
      <c r="K110" s="75" t="s">
        <v>9</v>
      </c>
      <c r="L110" s="75" t="s">
        <v>10</v>
      </c>
      <c r="M110" s="75" t="s">
        <v>376</v>
      </c>
      <c r="N110" s="75" t="s">
        <v>85</v>
      </c>
    </row>
    <row r="111" spans="1:14" x14ac:dyDescent="0.2">
      <c r="C111" s="1">
        <v>400</v>
      </c>
      <c r="D111" s="1">
        <v>1.25</v>
      </c>
      <c r="E111" s="26">
        <f t="shared" si="6"/>
        <v>8497978.5058593769</v>
      </c>
      <c r="F111" s="17">
        <v>4</v>
      </c>
      <c r="G111" s="26">
        <f t="shared" si="7"/>
        <v>9068040.234172387</v>
      </c>
      <c r="J111" s="79">
        <f>1000000*C8</f>
        <v>66000500</v>
      </c>
      <c r="K111" s="79">
        <f>J111</f>
        <v>66000500</v>
      </c>
      <c r="L111" s="1">
        <v>0.75</v>
      </c>
      <c r="M111" s="26">
        <f>J111*L111%</f>
        <v>495003.75</v>
      </c>
      <c r="N111" s="26">
        <f>M111</f>
        <v>495003.75</v>
      </c>
    </row>
    <row r="112" spans="1:14" x14ac:dyDescent="0.2">
      <c r="C112" s="1">
        <v>500</v>
      </c>
      <c r="D112" s="1">
        <v>1.25</v>
      </c>
      <c r="E112" s="26">
        <f t="shared" si="6"/>
        <v>10622473.132324221</v>
      </c>
      <c r="F112" s="17">
        <v>4</v>
      </c>
      <c r="G112" s="26">
        <f t="shared" si="7"/>
        <v>11335050.292715482</v>
      </c>
      <c r="J112" s="79">
        <f>K112-K111</f>
        <v>264002000</v>
      </c>
      <c r="K112" s="79">
        <f>5000000*C8</f>
        <v>330002500</v>
      </c>
      <c r="L112" s="1">
        <v>0.5</v>
      </c>
      <c r="M112" s="26">
        <f>J112*L112%</f>
        <v>1320010</v>
      </c>
      <c r="N112" s="26">
        <f>N111+M112</f>
        <v>1815013.75</v>
      </c>
    </row>
    <row r="113" spans="2:14" x14ac:dyDescent="0.2">
      <c r="C113" s="1">
        <v>600</v>
      </c>
      <c r="D113" s="1">
        <v>1.2</v>
      </c>
      <c r="E113" s="26">
        <f t="shared" si="6"/>
        <v>12746967.758789064</v>
      </c>
      <c r="F113" s="17">
        <v>4</v>
      </c>
      <c r="G113" s="26">
        <f t="shared" si="7"/>
        <v>13602060.35125858</v>
      </c>
      <c r="J113" s="79">
        <f>K113-K112</f>
        <v>330002500</v>
      </c>
      <c r="K113" s="79">
        <f>10000000*C8</f>
        <v>660005000</v>
      </c>
      <c r="L113" s="1">
        <v>0.25</v>
      </c>
      <c r="M113" s="26">
        <f>J113*L113%</f>
        <v>825006.25</v>
      </c>
      <c r="N113" s="26">
        <f>N112+M113</f>
        <v>2640020</v>
      </c>
    </row>
    <row r="114" spans="2:14" x14ac:dyDescent="0.2">
      <c r="C114" s="1">
        <v>700</v>
      </c>
      <c r="D114" s="1">
        <v>1.17</v>
      </c>
      <c r="E114" s="26">
        <f t="shared" si="6"/>
        <v>14913952.277783204</v>
      </c>
      <c r="F114" s="17">
        <v>4</v>
      </c>
      <c r="G114" s="26">
        <f t="shared" si="7"/>
        <v>15914410.610972537</v>
      </c>
      <c r="L114" s="1">
        <v>0.1</v>
      </c>
    </row>
    <row r="115" spans="2:14" x14ac:dyDescent="0.2">
      <c r="C115" s="1">
        <v>800</v>
      </c>
      <c r="D115" s="1">
        <v>1.1399999999999999</v>
      </c>
      <c r="E115" s="26">
        <f t="shared" si="6"/>
        <v>17001905.596672852</v>
      </c>
      <c r="F115" s="17">
        <v>4</v>
      </c>
      <c r="G115" s="26">
        <f t="shared" si="7"/>
        <v>18142428.096508689</v>
      </c>
    </row>
    <row r="116" spans="2:14" x14ac:dyDescent="0.2">
      <c r="C116" s="1">
        <v>900</v>
      </c>
      <c r="D116" s="1">
        <v>1.1299999999999999</v>
      </c>
      <c r="E116" s="26">
        <f t="shared" si="6"/>
        <v>19212153.324240319</v>
      </c>
      <c r="F116" s="17">
        <v>4</v>
      </c>
      <c r="G116" s="26">
        <f t="shared" si="7"/>
        <v>20500943.749054816</v>
      </c>
    </row>
    <row r="117" spans="2:14" x14ac:dyDescent="0.2">
      <c r="C117" s="1">
        <v>1000</v>
      </c>
      <c r="D117" s="1">
        <v>1.1100000000000001</v>
      </c>
      <c r="E117" s="26">
        <f t="shared" si="6"/>
        <v>21325490.189906757</v>
      </c>
      <c r="F117" s="17">
        <v>4</v>
      </c>
      <c r="G117" s="26">
        <f t="shared" si="7"/>
        <v>22756047.56145085</v>
      </c>
    </row>
    <row r="118" spans="2:14" x14ac:dyDescent="0.2">
      <c r="C118" s="1">
        <v>1100</v>
      </c>
      <c r="D118" s="1">
        <v>1.1000000000000001</v>
      </c>
      <c r="E118" s="26">
        <f t="shared" si="6"/>
        <v>23458039.208897434</v>
      </c>
      <c r="F118" s="17">
        <v>4</v>
      </c>
      <c r="G118" s="26">
        <f t="shared" si="7"/>
        <v>25031652.317595936</v>
      </c>
    </row>
    <row r="119" spans="2:14" x14ac:dyDescent="0.2">
      <c r="C119" s="1">
        <v>1200</v>
      </c>
      <c r="D119" s="1">
        <v>1.1000000000000001</v>
      </c>
      <c r="E119" s="26">
        <f t="shared" si="6"/>
        <v>25803843.129787181</v>
      </c>
      <c r="F119" s="17">
        <v>4</v>
      </c>
      <c r="G119" s="26">
        <f t="shared" si="7"/>
        <v>27534817.549355533</v>
      </c>
    </row>
    <row r="120" spans="2:14" x14ac:dyDescent="0.2">
      <c r="C120" s="1">
        <v>1300</v>
      </c>
      <c r="D120" s="1">
        <v>1.1000000000000001</v>
      </c>
      <c r="E120" s="26">
        <f t="shared" si="6"/>
        <v>28384227.442765903</v>
      </c>
      <c r="F120" s="17">
        <v>4</v>
      </c>
      <c r="G120" s="26">
        <f t="shared" si="7"/>
        <v>30288299.304291088</v>
      </c>
    </row>
    <row r="121" spans="2:14" x14ac:dyDescent="0.2">
      <c r="C121" s="1">
        <v>1400</v>
      </c>
      <c r="D121" s="1">
        <v>1.1000000000000001</v>
      </c>
      <c r="E121" s="26">
        <f t="shared" si="6"/>
        <v>31222650.187042497</v>
      </c>
      <c r="F121" s="17">
        <v>4</v>
      </c>
      <c r="G121" s="26">
        <f t="shared" si="7"/>
        <v>33317129.234720204</v>
      </c>
    </row>
    <row r="122" spans="2:14" x14ac:dyDescent="0.2">
      <c r="C122" s="1">
        <v>1500</v>
      </c>
      <c r="D122" s="1">
        <v>1.1000000000000001</v>
      </c>
      <c r="E122" s="26">
        <f t="shared" si="6"/>
        <v>34344915.205746748</v>
      </c>
      <c r="F122" s="17">
        <v>4</v>
      </c>
      <c r="G122" s="26">
        <f t="shared" si="7"/>
        <v>36648842.158192225</v>
      </c>
    </row>
    <row r="123" spans="2:14" x14ac:dyDescent="0.2">
      <c r="C123" s="1">
        <v>1600</v>
      </c>
      <c r="D123" s="1">
        <v>1.1000000000000001</v>
      </c>
      <c r="E123" s="26">
        <f t="shared" si="6"/>
        <v>37779406.726321429</v>
      </c>
      <c r="F123" s="17">
        <v>4</v>
      </c>
      <c r="G123" s="26">
        <f t="shared" si="7"/>
        <v>40313726.374011457</v>
      </c>
    </row>
    <row r="126" spans="2:14" x14ac:dyDescent="0.2">
      <c r="B126" s="269"/>
      <c r="C126" s="269"/>
    </row>
    <row r="131" spans="3:3" x14ac:dyDescent="0.2">
      <c r="C131" s="240"/>
    </row>
    <row r="132" spans="3:3" x14ac:dyDescent="0.2">
      <c r="C132" s="241"/>
    </row>
  </sheetData>
  <mergeCells count="11">
    <mergeCell ref="J32:J46"/>
    <mergeCell ref="F44:G45"/>
    <mergeCell ref="D47:D48"/>
    <mergeCell ref="B50:B52"/>
    <mergeCell ref="B55:B59"/>
    <mergeCell ref="B93:B97"/>
    <mergeCell ref="B126:C126"/>
    <mergeCell ref="B3:E3"/>
    <mergeCell ref="C52:D52"/>
    <mergeCell ref="C60:D60"/>
    <mergeCell ref="C98:D98"/>
  </mergeCells>
  <phoneticPr fontId="0" type="noConversion"/>
  <pageMargins left="0.75" right="0.75" top="1" bottom="1" header="0.51181102362204722" footer="0.51181102362204722"/>
  <pageSetup paperSize="9" firstPageNumber="0"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C439-85B9-4653-80BF-11589784B80E}">
  <sheetPr codeName="Hoja17"/>
  <dimension ref="A1:F1145"/>
  <sheetViews>
    <sheetView zoomScale="80" zoomScaleNormal="80" workbookViewId="0">
      <selection activeCell="C44" sqref="C44"/>
    </sheetView>
  </sheetViews>
  <sheetFormatPr baseColWidth="10" defaultColWidth="9.140625" defaultRowHeight="12.75" x14ac:dyDescent="0.2"/>
  <cols>
    <col min="1" max="1" width="9.140625" style="40" customWidth="1"/>
    <col min="2" max="2" width="12.85546875" style="80" customWidth="1"/>
    <col min="3" max="3" width="26" style="80" customWidth="1"/>
    <col min="4" max="4" width="15.85546875" style="80" customWidth="1"/>
    <col min="5" max="5" width="13" style="80" customWidth="1"/>
    <col min="6" max="16384" width="9.140625" style="1"/>
  </cols>
  <sheetData>
    <row r="1" spans="1:5" ht="36.75" customHeight="1" x14ac:dyDescent="0.2">
      <c r="A1" s="80" t="s">
        <v>152</v>
      </c>
      <c r="B1" s="81" t="s">
        <v>153</v>
      </c>
      <c r="C1" s="81" t="s">
        <v>154</v>
      </c>
      <c r="D1" s="81" t="s">
        <v>155</v>
      </c>
      <c r="E1" s="81" t="s">
        <v>156</v>
      </c>
    </row>
    <row r="2" spans="1:5" ht="19.5" customHeight="1" x14ac:dyDescent="0.2">
      <c r="A2" s="38">
        <v>0</v>
      </c>
      <c r="B2" s="82">
        <v>0</v>
      </c>
      <c r="C2" s="81"/>
      <c r="D2" s="81"/>
      <c r="E2" s="81"/>
    </row>
    <row r="3" spans="1:5" s="85" customFormat="1" ht="12" x14ac:dyDescent="0.2">
      <c r="A3" s="83">
        <f t="shared" ref="A3:A66" si="0">+B3*1000+D3</f>
        <v>1001</v>
      </c>
      <c r="B3" s="83">
        <v>1</v>
      </c>
      <c r="C3" s="83" t="s">
        <v>157</v>
      </c>
      <c r="D3" s="83">
        <v>1</v>
      </c>
      <c r="E3" s="84">
        <v>1221</v>
      </c>
    </row>
    <row r="4" spans="1:5" s="85" customFormat="1" ht="12" x14ac:dyDescent="0.2">
      <c r="A4" s="83">
        <f t="shared" si="0"/>
        <v>1002</v>
      </c>
      <c r="B4" s="83">
        <v>1</v>
      </c>
      <c r="C4" s="83" t="s">
        <v>157</v>
      </c>
      <c r="D4" s="83">
        <v>2</v>
      </c>
      <c r="E4" s="84">
        <v>1221</v>
      </c>
    </row>
    <row r="5" spans="1:5" s="85" customFormat="1" ht="12" x14ac:dyDescent="0.2">
      <c r="A5" s="83">
        <f t="shared" si="0"/>
        <v>1003</v>
      </c>
      <c r="B5" s="83">
        <v>1</v>
      </c>
      <c r="C5" s="83" t="s">
        <v>157</v>
      </c>
      <c r="D5" s="83">
        <v>3</v>
      </c>
      <c r="E5" s="84">
        <v>1265</v>
      </c>
    </row>
    <row r="6" spans="1:5" s="85" customFormat="1" ht="12" x14ac:dyDescent="0.2">
      <c r="A6" s="83">
        <f t="shared" si="0"/>
        <v>1004</v>
      </c>
      <c r="B6" s="83">
        <v>1</v>
      </c>
      <c r="C6" s="83" t="s">
        <v>157</v>
      </c>
      <c r="D6" s="83">
        <v>4</v>
      </c>
      <c r="E6" s="84">
        <v>1265</v>
      </c>
    </row>
    <row r="7" spans="1:5" s="85" customFormat="1" ht="12" x14ac:dyDescent="0.2">
      <c r="A7" s="83">
        <f t="shared" si="0"/>
        <v>1005</v>
      </c>
      <c r="B7" s="83">
        <v>1</v>
      </c>
      <c r="C7" s="83" t="s">
        <v>157</v>
      </c>
      <c r="D7" s="83">
        <v>5</v>
      </c>
      <c r="E7" s="84">
        <v>1265</v>
      </c>
    </row>
    <row r="8" spans="1:5" s="85" customFormat="1" ht="12" x14ac:dyDescent="0.2">
      <c r="A8" s="83">
        <f t="shared" si="0"/>
        <v>1006</v>
      </c>
      <c r="B8" s="83">
        <v>1</v>
      </c>
      <c r="C8" s="83" t="s">
        <v>157</v>
      </c>
      <c r="D8" s="83">
        <v>6</v>
      </c>
      <c r="E8" s="84">
        <v>1265</v>
      </c>
    </row>
    <row r="9" spans="1:5" s="85" customFormat="1" ht="12" x14ac:dyDescent="0.2">
      <c r="A9" s="83">
        <f t="shared" si="0"/>
        <v>1007</v>
      </c>
      <c r="B9" s="83">
        <v>1</v>
      </c>
      <c r="C9" s="83" t="s">
        <v>157</v>
      </c>
      <c r="D9" s="83">
        <v>7</v>
      </c>
      <c r="E9" s="84">
        <v>1308</v>
      </c>
    </row>
    <row r="10" spans="1:5" s="85" customFormat="1" ht="12" x14ac:dyDescent="0.2">
      <c r="A10" s="83">
        <f t="shared" si="0"/>
        <v>1008</v>
      </c>
      <c r="B10" s="83">
        <v>1</v>
      </c>
      <c r="C10" s="83" t="s">
        <v>157</v>
      </c>
      <c r="D10" s="83">
        <v>8</v>
      </c>
      <c r="E10" s="84">
        <v>1265</v>
      </c>
    </row>
    <row r="11" spans="1:5" s="85" customFormat="1" ht="12" x14ac:dyDescent="0.2">
      <c r="A11" s="83">
        <f t="shared" si="0"/>
        <v>1009</v>
      </c>
      <c r="B11" s="83">
        <v>1</v>
      </c>
      <c r="C11" s="83" t="s">
        <v>157</v>
      </c>
      <c r="D11" s="83">
        <v>9</v>
      </c>
      <c r="E11" s="84">
        <v>1308</v>
      </c>
    </row>
    <row r="12" spans="1:5" s="85" customFormat="1" ht="12" x14ac:dyDescent="0.2">
      <c r="A12" s="83">
        <f t="shared" si="0"/>
        <v>1010</v>
      </c>
      <c r="B12" s="83">
        <v>1</v>
      </c>
      <c r="C12" s="83" t="s">
        <v>157</v>
      </c>
      <c r="D12" s="83">
        <v>10</v>
      </c>
      <c r="E12" s="84">
        <v>1308</v>
      </c>
    </row>
    <row r="13" spans="1:5" s="85" customFormat="1" ht="12" x14ac:dyDescent="0.2">
      <c r="A13" s="83">
        <f t="shared" si="0"/>
        <v>2001</v>
      </c>
      <c r="B13" s="83">
        <v>2</v>
      </c>
      <c r="C13" s="83" t="s">
        <v>158</v>
      </c>
      <c r="D13" s="83">
        <v>1</v>
      </c>
      <c r="E13" s="84">
        <v>3860</v>
      </c>
    </row>
    <row r="14" spans="1:5" s="85" customFormat="1" ht="12" x14ac:dyDescent="0.2">
      <c r="A14" s="83">
        <f t="shared" si="0"/>
        <v>2002</v>
      </c>
      <c r="B14" s="83">
        <v>2</v>
      </c>
      <c r="C14" s="83" t="s">
        <v>158</v>
      </c>
      <c r="D14" s="83">
        <v>2</v>
      </c>
      <c r="E14" s="84">
        <v>3509</v>
      </c>
    </row>
    <row r="15" spans="1:5" s="85" customFormat="1" ht="12" x14ac:dyDescent="0.2">
      <c r="A15" s="83">
        <f t="shared" si="0"/>
        <v>2003</v>
      </c>
      <c r="B15" s="83">
        <v>2</v>
      </c>
      <c r="C15" s="83" t="s">
        <v>158</v>
      </c>
      <c r="D15" s="83">
        <v>3</v>
      </c>
      <c r="E15" s="84">
        <v>3860</v>
      </c>
    </row>
    <row r="16" spans="1:5" s="85" customFormat="1" ht="12" x14ac:dyDescent="0.2">
      <c r="A16" s="83">
        <f t="shared" si="0"/>
        <v>2004</v>
      </c>
      <c r="B16" s="83">
        <v>2</v>
      </c>
      <c r="C16" s="83" t="s">
        <v>158</v>
      </c>
      <c r="D16" s="83">
        <v>4</v>
      </c>
      <c r="E16" s="84">
        <v>3860</v>
      </c>
    </row>
    <row r="17" spans="1:5" s="85" customFormat="1" ht="12" x14ac:dyDescent="0.2">
      <c r="A17" s="83">
        <f t="shared" si="0"/>
        <v>2005</v>
      </c>
      <c r="B17" s="83">
        <v>2</v>
      </c>
      <c r="C17" s="83" t="s">
        <v>158</v>
      </c>
      <c r="D17" s="83">
        <v>5</v>
      </c>
      <c r="E17" s="84">
        <v>3860</v>
      </c>
    </row>
    <row r="18" spans="1:5" s="85" customFormat="1" ht="12" x14ac:dyDescent="0.2">
      <c r="A18" s="83">
        <f t="shared" si="0"/>
        <v>2006</v>
      </c>
      <c r="B18" s="83">
        <v>2</v>
      </c>
      <c r="C18" s="83" t="s">
        <v>158</v>
      </c>
      <c r="D18" s="83">
        <v>6</v>
      </c>
      <c r="E18" s="84">
        <v>3860</v>
      </c>
    </row>
    <row r="19" spans="1:5" s="85" customFormat="1" ht="12" x14ac:dyDescent="0.2">
      <c r="A19" s="83">
        <f t="shared" si="0"/>
        <v>2007</v>
      </c>
      <c r="B19" s="83">
        <v>2</v>
      </c>
      <c r="C19" s="83" t="s">
        <v>158</v>
      </c>
      <c r="D19" s="83">
        <v>7</v>
      </c>
      <c r="E19" s="84">
        <v>3860</v>
      </c>
    </row>
    <row r="20" spans="1:5" s="85" customFormat="1" ht="12" x14ac:dyDescent="0.2">
      <c r="A20" s="83">
        <f t="shared" si="0"/>
        <v>2008</v>
      </c>
      <c r="B20" s="83">
        <v>2</v>
      </c>
      <c r="C20" s="83" t="s">
        <v>158</v>
      </c>
      <c r="D20" s="83">
        <v>8</v>
      </c>
      <c r="E20" s="84">
        <v>3860</v>
      </c>
    </row>
    <row r="21" spans="1:5" s="85" customFormat="1" ht="12" x14ac:dyDescent="0.2">
      <c r="A21" s="83">
        <f t="shared" si="0"/>
        <v>2009</v>
      </c>
      <c r="B21" s="83">
        <v>2</v>
      </c>
      <c r="C21" s="83" t="s">
        <v>158</v>
      </c>
      <c r="D21" s="83">
        <v>9</v>
      </c>
      <c r="E21" s="84">
        <v>3860</v>
      </c>
    </row>
    <row r="22" spans="1:5" s="85" customFormat="1" ht="12" x14ac:dyDescent="0.2">
      <c r="A22" s="83">
        <f t="shared" si="0"/>
        <v>2010</v>
      </c>
      <c r="B22" s="83">
        <v>2</v>
      </c>
      <c r="C22" s="83" t="s">
        <v>158</v>
      </c>
      <c r="D22" s="83">
        <v>10</v>
      </c>
      <c r="E22" s="84">
        <v>3860</v>
      </c>
    </row>
    <row r="23" spans="1:5" s="85" customFormat="1" ht="12" x14ac:dyDescent="0.2">
      <c r="A23" s="83">
        <f t="shared" si="0"/>
        <v>3001</v>
      </c>
      <c r="B23" s="83">
        <v>3</v>
      </c>
      <c r="C23" s="83" t="s">
        <v>159</v>
      </c>
      <c r="D23" s="83">
        <v>1</v>
      </c>
      <c r="E23" s="84">
        <v>8928</v>
      </c>
    </row>
    <row r="24" spans="1:5" s="85" customFormat="1" ht="12" x14ac:dyDescent="0.2">
      <c r="A24" s="83">
        <f t="shared" si="0"/>
        <v>3002</v>
      </c>
      <c r="B24" s="83">
        <v>3</v>
      </c>
      <c r="C24" s="83" t="s">
        <v>159</v>
      </c>
      <c r="D24" s="83">
        <v>2</v>
      </c>
      <c r="E24" s="84">
        <v>8928</v>
      </c>
    </row>
    <row r="25" spans="1:5" s="85" customFormat="1" ht="12" x14ac:dyDescent="0.2">
      <c r="A25" s="83">
        <f t="shared" si="0"/>
        <v>3003</v>
      </c>
      <c r="B25" s="83">
        <v>3</v>
      </c>
      <c r="C25" s="83" t="s">
        <v>159</v>
      </c>
      <c r="D25" s="83">
        <v>3</v>
      </c>
      <c r="E25" s="84">
        <v>8928</v>
      </c>
    </row>
    <row r="26" spans="1:5" s="85" customFormat="1" ht="12" x14ac:dyDescent="0.2">
      <c r="A26" s="83">
        <f t="shared" si="0"/>
        <v>3004</v>
      </c>
      <c r="B26" s="83">
        <v>3</v>
      </c>
      <c r="C26" s="83" t="s">
        <v>159</v>
      </c>
      <c r="D26" s="83">
        <v>4</v>
      </c>
      <c r="E26" s="84">
        <v>8928</v>
      </c>
    </row>
    <row r="27" spans="1:5" s="85" customFormat="1" ht="12" x14ac:dyDescent="0.2">
      <c r="A27" s="83">
        <f t="shared" si="0"/>
        <v>3005</v>
      </c>
      <c r="B27" s="83">
        <v>3</v>
      </c>
      <c r="C27" s="83" t="s">
        <v>159</v>
      </c>
      <c r="D27" s="83">
        <v>5</v>
      </c>
      <c r="E27" s="84">
        <v>8928</v>
      </c>
    </row>
    <row r="28" spans="1:5" s="85" customFormat="1" ht="12" x14ac:dyDescent="0.2">
      <c r="A28" s="83">
        <f t="shared" si="0"/>
        <v>4001</v>
      </c>
      <c r="B28" s="83">
        <v>4</v>
      </c>
      <c r="C28" s="83" t="s">
        <v>160</v>
      </c>
      <c r="D28" s="83">
        <v>1</v>
      </c>
      <c r="E28" s="84">
        <v>10977</v>
      </c>
    </row>
    <row r="29" spans="1:5" s="85" customFormat="1" ht="12" x14ac:dyDescent="0.2">
      <c r="A29" s="83">
        <f t="shared" si="0"/>
        <v>4002</v>
      </c>
      <c r="B29" s="83">
        <v>4</v>
      </c>
      <c r="C29" s="83" t="s">
        <v>160</v>
      </c>
      <c r="D29" s="83">
        <v>2</v>
      </c>
      <c r="E29" s="84">
        <v>10977</v>
      </c>
    </row>
    <row r="30" spans="1:5" s="85" customFormat="1" ht="12" x14ac:dyDescent="0.2">
      <c r="A30" s="83">
        <f t="shared" si="0"/>
        <v>5001</v>
      </c>
      <c r="B30" s="83">
        <v>5</v>
      </c>
      <c r="C30" s="83" t="s">
        <v>161</v>
      </c>
      <c r="D30" s="83">
        <v>1</v>
      </c>
      <c r="E30" s="84">
        <v>1465</v>
      </c>
    </row>
    <row r="31" spans="1:5" s="85" customFormat="1" ht="12" x14ac:dyDescent="0.2">
      <c r="A31" s="83">
        <f t="shared" si="0"/>
        <v>5002</v>
      </c>
      <c r="B31" s="83">
        <v>5</v>
      </c>
      <c r="C31" s="83" t="s">
        <v>161</v>
      </c>
      <c r="D31" s="83">
        <v>2</v>
      </c>
      <c r="E31" s="84">
        <v>1465</v>
      </c>
    </row>
    <row r="32" spans="1:5" s="85" customFormat="1" ht="12" x14ac:dyDescent="0.2">
      <c r="A32" s="83">
        <f t="shared" si="0"/>
        <v>5003</v>
      </c>
      <c r="B32" s="83">
        <v>5</v>
      </c>
      <c r="C32" s="83" t="s">
        <v>161</v>
      </c>
      <c r="D32" s="83">
        <v>3</v>
      </c>
      <c r="E32" s="84">
        <v>1416</v>
      </c>
    </row>
    <row r="33" spans="1:5" s="85" customFormat="1" ht="12" x14ac:dyDescent="0.2">
      <c r="A33" s="83">
        <f t="shared" si="0"/>
        <v>5004</v>
      </c>
      <c r="B33" s="83">
        <v>5</v>
      </c>
      <c r="C33" s="83" t="s">
        <v>161</v>
      </c>
      <c r="D33" s="83">
        <v>4</v>
      </c>
      <c r="E33" s="84">
        <v>1416</v>
      </c>
    </row>
    <row r="34" spans="1:5" s="85" customFormat="1" ht="12" x14ac:dyDescent="0.2">
      <c r="A34" s="83">
        <f t="shared" si="0"/>
        <v>5005</v>
      </c>
      <c r="B34" s="83">
        <v>5</v>
      </c>
      <c r="C34" s="83" t="s">
        <v>161</v>
      </c>
      <c r="D34" s="83">
        <v>5</v>
      </c>
      <c r="E34" s="84">
        <v>1416</v>
      </c>
    </row>
    <row r="35" spans="1:5" s="85" customFormat="1" ht="12" x14ac:dyDescent="0.2">
      <c r="A35" s="83">
        <f t="shared" si="0"/>
        <v>5006</v>
      </c>
      <c r="B35" s="83">
        <v>5</v>
      </c>
      <c r="C35" s="83" t="s">
        <v>161</v>
      </c>
      <c r="D35" s="83">
        <v>6</v>
      </c>
      <c r="E35" s="84">
        <v>1416</v>
      </c>
    </row>
    <row r="36" spans="1:5" s="85" customFormat="1" ht="12" x14ac:dyDescent="0.2">
      <c r="A36" s="83">
        <f t="shared" si="0"/>
        <v>5007</v>
      </c>
      <c r="B36" s="83">
        <v>5</v>
      </c>
      <c r="C36" s="83" t="s">
        <v>161</v>
      </c>
      <c r="D36" s="83">
        <v>7</v>
      </c>
      <c r="E36" s="84">
        <v>1416</v>
      </c>
    </row>
    <row r="37" spans="1:5" s="85" customFormat="1" ht="12" x14ac:dyDescent="0.2">
      <c r="A37" s="83">
        <f t="shared" si="0"/>
        <v>5008</v>
      </c>
      <c r="B37" s="83">
        <v>5</v>
      </c>
      <c r="C37" s="83" t="s">
        <v>161</v>
      </c>
      <c r="D37" s="83">
        <v>8</v>
      </c>
      <c r="E37" s="84">
        <v>1465</v>
      </c>
    </row>
    <row r="38" spans="1:5" s="85" customFormat="1" ht="12" x14ac:dyDescent="0.2">
      <c r="A38" s="83">
        <f t="shared" si="0"/>
        <v>5009</v>
      </c>
      <c r="B38" s="83">
        <v>5</v>
      </c>
      <c r="C38" s="83" t="s">
        <v>161</v>
      </c>
      <c r="D38" s="83">
        <v>9</v>
      </c>
      <c r="E38" s="84">
        <v>1465</v>
      </c>
    </row>
    <row r="39" spans="1:5" s="85" customFormat="1" ht="12" x14ac:dyDescent="0.2">
      <c r="A39" s="83">
        <f t="shared" si="0"/>
        <v>5010</v>
      </c>
      <c r="B39" s="83">
        <v>5</v>
      </c>
      <c r="C39" s="83" t="s">
        <v>161</v>
      </c>
      <c r="D39" s="83">
        <v>10</v>
      </c>
      <c r="E39" s="84">
        <v>1465</v>
      </c>
    </row>
    <row r="40" spans="1:5" s="85" customFormat="1" ht="12" x14ac:dyDescent="0.2">
      <c r="A40" s="83">
        <f t="shared" si="0"/>
        <v>5011</v>
      </c>
      <c r="B40" s="83">
        <v>5</v>
      </c>
      <c r="C40" s="83" t="s">
        <v>161</v>
      </c>
      <c r="D40" s="83">
        <v>11</v>
      </c>
      <c r="E40" s="84">
        <v>1465</v>
      </c>
    </row>
    <row r="41" spans="1:5" s="85" customFormat="1" ht="12" x14ac:dyDescent="0.2">
      <c r="A41" s="83">
        <f t="shared" si="0"/>
        <v>5012</v>
      </c>
      <c r="B41" s="83">
        <v>5</v>
      </c>
      <c r="C41" s="83" t="s">
        <v>161</v>
      </c>
      <c r="D41" s="83">
        <v>12</v>
      </c>
      <c r="E41" s="84">
        <v>1465</v>
      </c>
    </row>
    <row r="42" spans="1:5" s="85" customFormat="1" ht="12" x14ac:dyDescent="0.2">
      <c r="A42" s="83">
        <f t="shared" si="0"/>
        <v>5013</v>
      </c>
      <c r="B42" s="83">
        <v>5</v>
      </c>
      <c r="C42" s="83" t="s">
        <v>161</v>
      </c>
      <c r="D42" s="83">
        <v>13</v>
      </c>
      <c r="E42" s="84">
        <v>1465</v>
      </c>
    </row>
    <row r="43" spans="1:5" s="85" customFormat="1" ht="12" x14ac:dyDescent="0.2">
      <c r="A43" s="83">
        <f t="shared" si="0"/>
        <v>5014</v>
      </c>
      <c r="B43" s="83">
        <v>5</v>
      </c>
      <c r="C43" s="83" t="s">
        <v>161</v>
      </c>
      <c r="D43" s="83">
        <v>14</v>
      </c>
      <c r="E43" s="84">
        <v>1367</v>
      </c>
    </row>
    <row r="44" spans="1:5" s="85" customFormat="1" ht="12" x14ac:dyDescent="0.2">
      <c r="A44" s="83">
        <f t="shared" si="0"/>
        <v>5015</v>
      </c>
      <c r="B44" s="83">
        <v>5</v>
      </c>
      <c r="C44" s="83" t="s">
        <v>161</v>
      </c>
      <c r="D44" s="83">
        <v>15</v>
      </c>
      <c r="E44" s="84">
        <v>1367</v>
      </c>
    </row>
    <row r="45" spans="1:5" s="85" customFormat="1" ht="12" x14ac:dyDescent="0.2">
      <c r="A45" s="83">
        <f t="shared" si="0"/>
        <v>5016</v>
      </c>
      <c r="B45" s="83">
        <v>5</v>
      </c>
      <c r="C45" s="83" t="s">
        <v>161</v>
      </c>
      <c r="D45" s="83">
        <v>16</v>
      </c>
      <c r="E45" s="84">
        <v>1367</v>
      </c>
    </row>
    <row r="46" spans="1:5" s="85" customFormat="1" ht="12" x14ac:dyDescent="0.2">
      <c r="A46" s="83">
        <f t="shared" si="0"/>
        <v>5017</v>
      </c>
      <c r="B46" s="83">
        <v>5</v>
      </c>
      <c r="C46" s="83" t="s">
        <v>161</v>
      </c>
      <c r="D46" s="83">
        <v>17</v>
      </c>
      <c r="E46" s="84">
        <v>1367</v>
      </c>
    </row>
    <row r="47" spans="1:5" s="85" customFormat="1" ht="12" x14ac:dyDescent="0.2">
      <c r="A47" s="83">
        <f t="shared" si="0"/>
        <v>5018</v>
      </c>
      <c r="B47" s="83">
        <v>5</v>
      </c>
      <c r="C47" s="83" t="s">
        <v>161</v>
      </c>
      <c r="D47" s="83">
        <v>18</v>
      </c>
      <c r="E47" s="84">
        <v>1416</v>
      </c>
    </row>
    <row r="48" spans="1:5" s="85" customFormat="1" ht="12" x14ac:dyDescent="0.2">
      <c r="A48" s="83">
        <f t="shared" si="0"/>
        <v>6001</v>
      </c>
      <c r="B48" s="83">
        <v>6</v>
      </c>
      <c r="C48" s="83" t="s">
        <v>162</v>
      </c>
      <c r="D48" s="83">
        <v>1</v>
      </c>
      <c r="E48" s="84">
        <v>2263</v>
      </c>
    </row>
    <row r="49" spans="1:5" s="85" customFormat="1" ht="12" x14ac:dyDescent="0.2">
      <c r="A49" s="83">
        <f t="shared" si="0"/>
        <v>6002</v>
      </c>
      <c r="B49" s="83">
        <v>6</v>
      </c>
      <c r="C49" s="83" t="s">
        <v>162</v>
      </c>
      <c r="D49" s="83">
        <v>2</v>
      </c>
      <c r="E49" s="84">
        <v>2263</v>
      </c>
    </row>
    <row r="50" spans="1:5" s="85" customFormat="1" ht="12" x14ac:dyDescent="0.2">
      <c r="A50" s="83">
        <f t="shared" si="0"/>
        <v>6003</v>
      </c>
      <c r="B50" s="83">
        <v>6</v>
      </c>
      <c r="C50" s="83" t="s">
        <v>162</v>
      </c>
      <c r="D50" s="83">
        <v>3</v>
      </c>
      <c r="E50" s="84">
        <v>2198</v>
      </c>
    </row>
    <row r="51" spans="1:5" s="85" customFormat="1" ht="12" x14ac:dyDescent="0.2">
      <c r="A51" s="83">
        <f t="shared" si="0"/>
        <v>6004</v>
      </c>
      <c r="B51" s="83">
        <v>6</v>
      </c>
      <c r="C51" s="83" t="s">
        <v>162</v>
      </c>
      <c r="D51" s="83">
        <v>4</v>
      </c>
      <c r="E51" s="84">
        <v>1875</v>
      </c>
    </row>
    <row r="52" spans="1:5" s="85" customFormat="1" ht="12" x14ac:dyDescent="0.2">
      <c r="A52" s="83">
        <f t="shared" si="0"/>
        <v>6005</v>
      </c>
      <c r="B52" s="83">
        <v>6</v>
      </c>
      <c r="C52" s="83" t="s">
        <v>162</v>
      </c>
      <c r="D52" s="83">
        <v>5</v>
      </c>
      <c r="E52" s="84">
        <v>2263</v>
      </c>
    </row>
    <row r="53" spans="1:5" s="85" customFormat="1" ht="12" x14ac:dyDescent="0.2">
      <c r="A53" s="83">
        <f t="shared" si="0"/>
        <v>6006</v>
      </c>
      <c r="B53" s="83">
        <v>6</v>
      </c>
      <c r="C53" s="83" t="s">
        <v>162</v>
      </c>
      <c r="D53" s="83">
        <v>6</v>
      </c>
      <c r="E53" s="84">
        <v>2263</v>
      </c>
    </row>
    <row r="54" spans="1:5" s="85" customFormat="1" ht="12" x14ac:dyDescent="0.2">
      <c r="A54" s="83">
        <f t="shared" si="0"/>
        <v>6007</v>
      </c>
      <c r="B54" s="83">
        <v>6</v>
      </c>
      <c r="C54" s="83" t="s">
        <v>162</v>
      </c>
      <c r="D54" s="83">
        <v>7</v>
      </c>
      <c r="E54" s="84">
        <v>2198</v>
      </c>
    </row>
    <row r="55" spans="1:5" s="85" customFormat="1" ht="12" x14ac:dyDescent="0.2">
      <c r="A55" s="83">
        <f t="shared" si="0"/>
        <v>6008</v>
      </c>
      <c r="B55" s="83">
        <v>6</v>
      </c>
      <c r="C55" s="83" t="s">
        <v>162</v>
      </c>
      <c r="D55" s="83">
        <v>8</v>
      </c>
      <c r="E55" s="84">
        <v>2198</v>
      </c>
    </row>
    <row r="56" spans="1:5" s="85" customFormat="1" ht="12" x14ac:dyDescent="0.2">
      <c r="A56" s="83">
        <f t="shared" si="0"/>
        <v>6009</v>
      </c>
      <c r="B56" s="83">
        <v>6</v>
      </c>
      <c r="C56" s="83" t="s">
        <v>162</v>
      </c>
      <c r="D56" s="83">
        <v>9</v>
      </c>
      <c r="E56" s="84">
        <v>2263</v>
      </c>
    </row>
    <row r="57" spans="1:5" s="85" customFormat="1" ht="12" x14ac:dyDescent="0.2">
      <c r="A57" s="83">
        <f t="shared" si="0"/>
        <v>6010</v>
      </c>
      <c r="B57" s="83">
        <v>6</v>
      </c>
      <c r="C57" s="83" t="s">
        <v>162</v>
      </c>
      <c r="D57" s="83">
        <v>10</v>
      </c>
      <c r="E57" s="84">
        <v>1810</v>
      </c>
    </row>
    <row r="58" spans="1:5" s="85" customFormat="1" ht="12" x14ac:dyDescent="0.2">
      <c r="A58" s="83">
        <f t="shared" si="0"/>
        <v>6011</v>
      </c>
      <c r="B58" s="83">
        <v>6</v>
      </c>
      <c r="C58" s="83" t="s">
        <v>162</v>
      </c>
      <c r="D58" s="83">
        <v>11</v>
      </c>
      <c r="E58" s="84">
        <v>1810</v>
      </c>
    </row>
    <row r="59" spans="1:5" s="85" customFormat="1" ht="12" x14ac:dyDescent="0.2">
      <c r="A59" s="83">
        <f t="shared" si="0"/>
        <v>6012</v>
      </c>
      <c r="B59" s="83">
        <v>6</v>
      </c>
      <c r="C59" s="83" t="s">
        <v>162</v>
      </c>
      <c r="D59" s="83">
        <v>12</v>
      </c>
      <c r="E59" s="84">
        <v>1810</v>
      </c>
    </row>
    <row r="60" spans="1:5" s="85" customFormat="1" ht="12" x14ac:dyDescent="0.2">
      <c r="A60" s="83">
        <f t="shared" si="0"/>
        <v>6013</v>
      </c>
      <c r="B60" s="83">
        <v>6</v>
      </c>
      <c r="C60" s="83" t="s">
        <v>162</v>
      </c>
      <c r="D60" s="83">
        <v>13</v>
      </c>
      <c r="E60" s="84">
        <v>1810</v>
      </c>
    </row>
    <row r="61" spans="1:5" s="85" customFormat="1" ht="12" x14ac:dyDescent="0.2">
      <c r="A61" s="83">
        <f t="shared" si="0"/>
        <v>6014</v>
      </c>
      <c r="B61" s="83">
        <v>6</v>
      </c>
      <c r="C61" s="83" t="s">
        <v>162</v>
      </c>
      <c r="D61" s="83">
        <v>14</v>
      </c>
      <c r="E61" s="84">
        <v>1810</v>
      </c>
    </row>
    <row r="62" spans="1:5" s="85" customFormat="1" ht="12" x14ac:dyDescent="0.2">
      <c r="A62" s="83">
        <f t="shared" si="0"/>
        <v>6015</v>
      </c>
      <c r="B62" s="83">
        <v>6</v>
      </c>
      <c r="C62" s="83" t="s">
        <v>162</v>
      </c>
      <c r="D62" s="83">
        <v>15</v>
      </c>
      <c r="E62" s="84">
        <v>1810</v>
      </c>
    </row>
    <row r="63" spans="1:5" s="85" customFormat="1" ht="12" x14ac:dyDescent="0.2">
      <c r="A63" s="83">
        <f t="shared" si="0"/>
        <v>6016</v>
      </c>
      <c r="B63" s="83">
        <v>6</v>
      </c>
      <c r="C63" s="83" t="s">
        <v>162</v>
      </c>
      <c r="D63" s="83">
        <v>16</v>
      </c>
      <c r="E63" s="84">
        <v>1810</v>
      </c>
    </row>
    <row r="64" spans="1:5" s="85" customFormat="1" ht="12" x14ac:dyDescent="0.2">
      <c r="A64" s="83">
        <f t="shared" si="0"/>
        <v>6017</v>
      </c>
      <c r="B64" s="83">
        <v>6</v>
      </c>
      <c r="C64" s="83" t="s">
        <v>162</v>
      </c>
      <c r="D64" s="83">
        <v>17</v>
      </c>
      <c r="E64" s="84">
        <v>1810</v>
      </c>
    </row>
    <row r="65" spans="1:5" s="85" customFormat="1" ht="12" x14ac:dyDescent="0.2">
      <c r="A65" s="83">
        <f t="shared" si="0"/>
        <v>6018</v>
      </c>
      <c r="B65" s="83">
        <v>6</v>
      </c>
      <c r="C65" s="83" t="s">
        <v>162</v>
      </c>
      <c r="D65" s="83">
        <v>18</v>
      </c>
      <c r="E65" s="84">
        <v>1810</v>
      </c>
    </row>
    <row r="66" spans="1:5" s="85" customFormat="1" ht="12" x14ac:dyDescent="0.2">
      <c r="A66" s="83">
        <f t="shared" si="0"/>
        <v>6019</v>
      </c>
      <c r="B66" s="83">
        <v>6</v>
      </c>
      <c r="C66" s="83" t="s">
        <v>162</v>
      </c>
      <c r="D66" s="83">
        <v>19</v>
      </c>
      <c r="E66" s="84">
        <v>1810</v>
      </c>
    </row>
    <row r="67" spans="1:5" s="85" customFormat="1" ht="12" x14ac:dyDescent="0.2">
      <c r="A67" s="83">
        <f t="shared" ref="A67:A130" si="1">+B67*1000+D67</f>
        <v>6020</v>
      </c>
      <c r="B67" s="83">
        <v>6</v>
      </c>
      <c r="C67" s="83" t="s">
        <v>162</v>
      </c>
      <c r="D67" s="83">
        <v>20</v>
      </c>
      <c r="E67" s="84">
        <v>1810</v>
      </c>
    </row>
    <row r="68" spans="1:5" s="85" customFormat="1" ht="12" x14ac:dyDescent="0.2">
      <c r="A68" s="83">
        <f t="shared" si="1"/>
        <v>6021</v>
      </c>
      <c r="B68" s="83">
        <v>6</v>
      </c>
      <c r="C68" s="83" t="s">
        <v>162</v>
      </c>
      <c r="D68" s="83">
        <v>21</v>
      </c>
      <c r="E68" s="84">
        <v>1810</v>
      </c>
    </row>
    <row r="69" spans="1:5" s="85" customFormat="1" ht="12" x14ac:dyDescent="0.2">
      <c r="A69" s="83">
        <f t="shared" si="1"/>
        <v>7002</v>
      </c>
      <c r="B69" s="83">
        <v>7</v>
      </c>
      <c r="C69" s="83" t="s">
        <v>163</v>
      </c>
      <c r="D69" s="83">
        <v>2</v>
      </c>
      <c r="E69" s="83">
        <v>867</v>
      </c>
    </row>
    <row r="70" spans="1:5" s="85" customFormat="1" ht="12" x14ac:dyDescent="0.2">
      <c r="A70" s="83">
        <f t="shared" si="1"/>
        <v>7004</v>
      </c>
      <c r="B70" s="83">
        <v>7</v>
      </c>
      <c r="C70" s="83" t="s">
        <v>163</v>
      </c>
      <c r="D70" s="83">
        <v>4</v>
      </c>
      <c r="E70" s="83">
        <v>805</v>
      </c>
    </row>
    <row r="71" spans="1:5" s="85" customFormat="1" ht="12" x14ac:dyDescent="0.2">
      <c r="A71" s="83">
        <f t="shared" si="1"/>
        <v>7005</v>
      </c>
      <c r="B71" s="83">
        <v>7</v>
      </c>
      <c r="C71" s="83" t="s">
        <v>163</v>
      </c>
      <c r="D71" s="83">
        <v>5</v>
      </c>
      <c r="E71" s="84">
        <v>1053</v>
      </c>
    </row>
    <row r="72" spans="1:5" s="85" customFormat="1" ht="12" x14ac:dyDescent="0.2">
      <c r="A72" s="83">
        <f t="shared" si="1"/>
        <v>7009</v>
      </c>
      <c r="B72" s="83">
        <v>7</v>
      </c>
      <c r="C72" s="83" t="s">
        <v>163</v>
      </c>
      <c r="D72" s="83">
        <v>9</v>
      </c>
      <c r="E72" s="84">
        <v>1053</v>
      </c>
    </row>
    <row r="73" spans="1:5" s="85" customFormat="1" ht="12" x14ac:dyDescent="0.2">
      <c r="A73" s="83">
        <f t="shared" si="1"/>
        <v>7010</v>
      </c>
      <c r="B73" s="83">
        <v>7</v>
      </c>
      <c r="C73" s="83" t="s">
        <v>163</v>
      </c>
      <c r="D73" s="83">
        <v>10</v>
      </c>
      <c r="E73" s="84">
        <v>1022</v>
      </c>
    </row>
    <row r="74" spans="1:5" s="85" customFormat="1" ht="12" x14ac:dyDescent="0.2">
      <c r="A74" s="83">
        <f t="shared" si="1"/>
        <v>7011</v>
      </c>
      <c r="B74" s="83">
        <v>7</v>
      </c>
      <c r="C74" s="83" t="s">
        <v>163</v>
      </c>
      <c r="D74" s="83">
        <v>11</v>
      </c>
      <c r="E74" s="84">
        <v>1084</v>
      </c>
    </row>
    <row r="75" spans="1:5" s="85" customFormat="1" ht="12" x14ac:dyDescent="0.2">
      <c r="A75" s="83">
        <f t="shared" si="1"/>
        <v>7012</v>
      </c>
      <c r="B75" s="83">
        <v>7</v>
      </c>
      <c r="C75" s="83" t="s">
        <v>163</v>
      </c>
      <c r="D75" s="83">
        <v>12</v>
      </c>
      <c r="E75" s="83">
        <v>898</v>
      </c>
    </row>
    <row r="76" spans="1:5" s="85" customFormat="1" ht="12" x14ac:dyDescent="0.2">
      <c r="A76" s="83">
        <f t="shared" si="1"/>
        <v>7013</v>
      </c>
      <c r="B76" s="83">
        <v>7</v>
      </c>
      <c r="C76" s="83" t="s">
        <v>163</v>
      </c>
      <c r="D76" s="83">
        <v>13</v>
      </c>
      <c r="E76" s="83">
        <v>898</v>
      </c>
    </row>
    <row r="77" spans="1:5" s="85" customFormat="1" ht="12" x14ac:dyDescent="0.2">
      <c r="A77" s="83">
        <f t="shared" si="1"/>
        <v>7014</v>
      </c>
      <c r="B77" s="83">
        <v>7</v>
      </c>
      <c r="C77" s="83" t="s">
        <v>163</v>
      </c>
      <c r="D77" s="83">
        <v>14</v>
      </c>
      <c r="E77" s="83">
        <v>805</v>
      </c>
    </row>
    <row r="78" spans="1:5" s="85" customFormat="1" ht="12" x14ac:dyDescent="0.2">
      <c r="A78" s="83">
        <f t="shared" si="1"/>
        <v>8002</v>
      </c>
      <c r="B78" s="83">
        <v>8</v>
      </c>
      <c r="C78" s="83" t="s">
        <v>164</v>
      </c>
      <c r="D78" s="83">
        <v>2</v>
      </c>
      <c r="E78" s="84">
        <v>3014</v>
      </c>
    </row>
    <row r="79" spans="1:5" s="85" customFormat="1" ht="12" x14ac:dyDescent="0.2">
      <c r="A79" s="83">
        <f t="shared" si="1"/>
        <v>8003</v>
      </c>
      <c r="B79" s="83">
        <v>8</v>
      </c>
      <c r="C79" s="83" t="s">
        <v>164</v>
      </c>
      <c r="D79" s="83">
        <v>3</v>
      </c>
      <c r="E79" s="84">
        <v>3014</v>
      </c>
    </row>
    <row r="80" spans="1:5" s="85" customFormat="1" ht="12" x14ac:dyDescent="0.2">
      <c r="A80" s="83">
        <f t="shared" si="1"/>
        <v>8004</v>
      </c>
      <c r="B80" s="83">
        <v>8</v>
      </c>
      <c r="C80" s="83" t="s">
        <v>164</v>
      </c>
      <c r="D80" s="83">
        <v>4</v>
      </c>
      <c r="E80" s="84">
        <v>2703</v>
      </c>
    </row>
    <row r="81" spans="1:6" s="85" customFormat="1" ht="12" x14ac:dyDescent="0.2">
      <c r="A81" s="83">
        <f t="shared" si="1"/>
        <v>8005</v>
      </c>
      <c r="B81" s="83">
        <v>8</v>
      </c>
      <c r="C81" s="83" t="s">
        <v>164</v>
      </c>
      <c r="D81" s="83">
        <v>5</v>
      </c>
      <c r="E81" s="84">
        <v>2703</v>
      </c>
    </row>
    <row r="82" spans="1:6" s="85" customFormat="1" ht="12" x14ac:dyDescent="0.2">
      <c r="A82" s="83">
        <f t="shared" si="1"/>
        <v>8006</v>
      </c>
      <c r="B82" s="83">
        <v>8</v>
      </c>
      <c r="C82" s="83" t="s">
        <v>164</v>
      </c>
      <c r="D82" s="83">
        <v>6</v>
      </c>
      <c r="E82" s="84">
        <v>3014</v>
      </c>
    </row>
    <row r="83" spans="1:6" s="85" customFormat="1" ht="12" x14ac:dyDescent="0.2">
      <c r="A83" s="83">
        <f t="shared" si="1"/>
        <v>8007</v>
      </c>
      <c r="B83" s="83">
        <v>8</v>
      </c>
      <c r="C83" s="83" t="s">
        <v>164</v>
      </c>
      <c r="D83" s="83">
        <v>7</v>
      </c>
      <c r="E83" s="84">
        <v>2703</v>
      </c>
    </row>
    <row r="84" spans="1:6" s="85" customFormat="1" ht="12" x14ac:dyDescent="0.2">
      <c r="A84" s="83">
        <f t="shared" si="1"/>
        <v>8008</v>
      </c>
      <c r="B84" s="83">
        <v>8</v>
      </c>
      <c r="C84" s="83" t="s">
        <v>164</v>
      </c>
      <c r="D84" s="83">
        <v>8</v>
      </c>
      <c r="E84" s="84">
        <v>3014</v>
      </c>
    </row>
    <row r="85" spans="1:6" s="85" customFormat="1" ht="12" x14ac:dyDescent="0.2">
      <c r="A85" s="83">
        <f t="shared" si="1"/>
        <v>8009</v>
      </c>
      <c r="B85" s="83">
        <v>8</v>
      </c>
      <c r="C85" s="83" t="s">
        <v>164</v>
      </c>
      <c r="D85" s="83">
        <v>9</v>
      </c>
      <c r="E85" s="84">
        <v>3118</v>
      </c>
    </row>
    <row r="86" spans="1:6" s="85" customFormat="1" ht="12" x14ac:dyDescent="0.2">
      <c r="A86" s="83">
        <f t="shared" si="1"/>
        <v>8010</v>
      </c>
      <c r="B86" s="83">
        <v>8</v>
      </c>
      <c r="C86" s="83" t="s">
        <v>164</v>
      </c>
      <c r="D86" s="83">
        <v>10</v>
      </c>
      <c r="E86" s="84">
        <v>3118</v>
      </c>
    </row>
    <row r="87" spans="1:6" s="85" customFormat="1" ht="12" x14ac:dyDescent="0.2">
      <c r="A87" s="83">
        <f t="shared" si="1"/>
        <v>8011</v>
      </c>
      <c r="B87" s="83">
        <v>8</v>
      </c>
      <c r="C87" s="83" t="s">
        <v>164</v>
      </c>
      <c r="D87" s="83">
        <v>11</v>
      </c>
      <c r="E87" s="84">
        <v>3118</v>
      </c>
    </row>
    <row r="88" spans="1:6" s="85" customFormat="1" ht="12" x14ac:dyDescent="0.2">
      <c r="A88" s="83">
        <f t="shared" si="1"/>
        <v>9002</v>
      </c>
      <c r="B88" s="83">
        <v>9</v>
      </c>
      <c r="C88" s="83" t="s">
        <v>165</v>
      </c>
      <c r="D88" s="83">
        <v>2</v>
      </c>
      <c r="E88" s="84">
        <v>4129</v>
      </c>
    </row>
    <row r="89" spans="1:6" s="85" customFormat="1" ht="12" x14ac:dyDescent="0.2">
      <c r="A89" s="83">
        <f t="shared" si="1"/>
        <v>9003</v>
      </c>
      <c r="B89" s="83">
        <v>9</v>
      </c>
      <c r="C89" s="83" t="s">
        <v>165</v>
      </c>
      <c r="D89" s="83">
        <v>3</v>
      </c>
      <c r="E89" s="84">
        <v>4129</v>
      </c>
    </row>
    <row r="90" spans="1:6" s="85" customFormat="1" ht="12" x14ac:dyDescent="0.2">
      <c r="A90" s="83">
        <f t="shared" si="1"/>
        <v>9004</v>
      </c>
      <c r="B90" s="83">
        <v>9</v>
      </c>
      <c r="C90" s="83" t="s">
        <v>165</v>
      </c>
      <c r="D90" s="83">
        <v>4</v>
      </c>
      <c r="E90" s="84">
        <v>4129</v>
      </c>
    </row>
    <row r="91" spans="1:6" s="85" customFormat="1" ht="12" x14ac:dyDescent="0.2">
      <c r="A91" s="83">
        <f t="shared" si="1"/>
        <v>9005</v>
      </c>
      <c r="B91" s="83">
        <v>9</v>
      </c>
      <c r="C91" s="83" t="s">
        <v>165</v>
      </c>
      <c r="D91" s="83">
        <v>5</v>
      </c>
      <c r="E91" s="84">
        <v>4129</v>
      </c>
      <c r="F91" s="85">
        <f>4129*0.15</f>
        <v>619.35</v>
      </c>
    </row>
    <row r="92" spans="1:6" s="85" customFormat="1" ht="12" x14ac:dyDescent="0.2">
      <c r="A92" s="83">
        <f t="shared" si="1"/>
        <v>9006</v>
      </c>
      <c r="B92" s="83">
        <v>9</v>
      </c>
      <c r="C92" s="83" t="s">
        <v>165</v>
      </c>
      <c r="D92" s="83">
        <v>6</v>
      </c>
      <c r="E92" s="84">
        <v>4129</v>
      </c>
    </row>
    <row r="93" spans="1:6" s="85" customFormat="1" ht="12" x14ac:dyDescent="0.2">
      <c r="A93" s="83">
        <f t="shared" si="1"/>
        <v>9007</v>
      </c>
      <c r="B93" s="83">
        <v>9</v>
      </c>
      <c r="C93" s="83" t="s">
        <v>165</v>
      </c>
      <c r="D93" s="83">
        <v>7</v>
      </c>
      <c r="E93" s="84">
        <v>4129</v>
      </c>
    </row>
    <row r="94" spans="1:6" s="85" customFormat="1" ht="12" x14ac:dyDescent="0.2">
      <c r="A94" s="83">
        <f t="shared" si="1"/>
        <v>9008</v>
      </c>
      <c r="B94" s="83">
        <v>9</v>
      </c>
      <c r="C94" s="83" t="s">
        <v>165</v>
      </c>
      <c r="D94" s="83">
        <v>8</v>
      </c>
      <c r="E94" s="84">
        <v>4129</v>
      </c>
    </row>
    <row r="95" spans="1:6" s="85" customFormat="1" ht="12" x14ac:dyDescent="0.2">
      <c r="A95" s="83">
        <f t="shared" si="1"/>
        <v>9009</v>
      </c>
      <c r="B95" s="83">
        <v>9</v>
      </c>
      <c r="C95" s="83" t="s">
        <v>165</v>
      </c>
      <c r="D95" s="83">
        <v>9</v>
      </c>
      <c r="E95" s="84">
        <v>4129</v>
      </c>
    </row>
    <row r="96" spans="1:6" s="85" customFormat="1" ht="12" x14ac:dyDescent="0.2">
      <c r="A96" s="83">
        <f t="shared" si="1"/>
        <v>9010</v>
      </c>
      <c r="B96" s="83">
        <v>9</v>
      </c>
      <c r="C96" s="83" t="s">
        <v>165</v>
      </c>
      <c r="D96" s="83">
        <v>10</v>
      </c>
      <c r="E96" s="84">
        <v>4129</v>
      </c>
    </row>
    <row r="97" spans="1:5" s="85" customFormat="1" ht="12" x14ac:dyDescent="0.2">
      <c r="A97" s="83">
        <f t="shared" si="1"/>
        <v>9011</v>
      </c>
      <c r="B97" s="83">
        <v>9</v>
      </c>
      <c r="C97" s="83" t="s">
        <v>165</v>
      </c>
      <c r="D97" s="83">
        <v>11</v>
      </c>
      <c r="E97" s="84">
        <v>4129</v>
      </c>
    </row>
    <row r="98" spans="1:5" s="85" customFormat="1" ht="12" x14ac:dyDescent="0.2">
      <c r="A98" s="83">
        <f t="shared" si="1"/>
        <v>10001</v>
      </c>
      <c r="B98" s="83">
        <v>10</v>
      </c>
      <c r="C98" s="83" t="s">
        <v>166</v>
      </c>
      <c r="D98" s="83">
        <v>1</v>
      </c>
      <c r="E98" s="84">
        <v>4573</v>
      </c>
    </row>
    <row r="99" spans="1:5" s="85" customFormat="1" ht="12" x14ac:dyDescent="0.2">
      <c r="A99" s="83">
        <f t="shared" si="1"/>
        <v>10002</v>
      </c>
      <c r="B99" s="83">
        <v>10</v>
      </c>
      <c r="C99" s="83" t="s">
        <v>166</v>
      </c>
      <c r="D99" s="83">
        <v>2</v>
      </c>
      <c r="E99" s="84">
        <v>4573</v>
      </c>
    </row>
    <row r="100" spans="1:5" s="85" customFormat="1" ht="12" x14ac:dyDescent="0.2">
      <c r="A100" s="83">
        <f t="shared" si="1"/>
        <v>10003</v>
      </c>
      <c r="B100" s="83">
        <v>10</v>
      </c>
      <c r="C100" s="83" t="s">
        <v>166</v>
      </c>
      <c r="D100" s="83">
        <v>3</v>
      </c>
      <c r="E100" s="84">
        <v>4573</v>
      </c>
    </row>
    <row r="101" spans="1:5" s="85" customFormat="1" ht="12" x14ac:dyDescent="0.2">
      <c r="A101" s="83">
        <f t="shared" si="1"/>
        <v>10004</v>
      </c>
      <c r="B101" s="83">
        <v>10</v>
      </c>
      <c r="C101" s="83" t="s">
        <v>166</v>
      </c>
      <c r="D101" s="83">
        <v>4</v>
      </c>
      <c r="E101" s="84">
        <v>4573</v>
      </c>
    </row>
    <row r="102" spans="1:5" s="85" customFormat="1" ht="12" x14ac:dyDescent="0.2">
      <c r="A102" s="83">
        <f t="shared" si="1"/>
        <v>10005</v>
      </c>
      <c r="B102" s="83">
        <v>10</v>
      </c>
      <c r="C102" s="83" t="s">
        <v>166</v>
      </c>
      <c r="D102" s="83">
        <v>5</v>
      </c>
      <c r="E102" s="84">
        <v>4439</v>
      </c>
    </row>
    <row r="103" spans="1:5" s="85" customFormat="1" ht="12" x14ac:dyDescent="0.2">
      <c r="A103" s="83">
        <f t="shared" si="1"/>
        <v>10006</v>
      </c>
      <c r="B103" s="83">
        <v>10</v>
      </c>
      <c r="C103" s="83" t="s">
        <v>166</v>
      </c>
      <c r="D103" s="83">
        <v>6</v>
      </c>
      <c r="E103" s="84">
        <v>4573</v>
      </c>
    </row>
    <row r="104" spans="1:5" s="85" customFormat="1" ht="12" x14ac:dyDescent="0.2">
      <c r="A104" s="83">
        <f t="shared" si="1"/>
        <v>10007</v>
      </c>
      <c r="B104" s="83">
        <v>10</v>
      </c>
      <c r="C104" s="83" t="s">
        <v>166</v>
      </c>
      <c r="D104" s="83">
        <v>7</v>
      </c>
      <c r="E104" s="84">
        <v>4573</v>
      </c>
    </row>
    <row r="105" spans="1:5" s="85" customFormat="1" ht="12" x14ac:dyDescent="0.2">
      <c r="A105" s="83">
        <f t="shared" si="1"/>
        <v>10008</v>
      </c>
      <c r="B105" s="83">
        <v>10</v>
      </c>
      <c r="C105" s="83" t="s">
        <v>166</v>
      </c>
      <c r="D105" s="83">
        <v>8</v>
      </c>
      <c r="E105" s="84">
        <v>4573</v>
      </c>
    </row>
    <row r="106" spans="1:5" s="85" customFormat="1" ht="12" x14ac:dyDescent="0.2">
      <c r="A106" s="83">
        <f t="shared" si="1"/>
        <v>10009</v>
      </c>
      <c r="B106" s="83">
        <v>10</v>
      </c>
      <c r="C106" s="83" t="s">
        <v>166</v>
      </c>
      <c r="D106" s="83">
        <v>9</v>
      </c>
      <c r="E106" s="84">
        <v>4573</v>
      </c>
    </row>
    <row r="107" spans="1:5" s="85" customFormat="1" ht="12" x14ac:dyDescent="0.2">
      <c r="A107" s="83">
        <f t="shared" si="1"/>
        <v>10010</v>
      </c>
      <c r="B107" s="83">
        <v>10</v>
      </c>
      <c r="C107" s="83" t="s">
        <v>166</v>
      </c>
      <c r="D107" s="83">
        <v>10</v>
      </c>
      <c r="E107" s="84">
        <v>4573</v>
      </c>
    </row>
    <row r="108" spans="1:5" s="85" customFormat="1" ht="12" x14ac:dyDescent="0.2">
      <c r="A108" s="83">
        <f t="shared" si="1"/>
        <v>10015</v>
      </c>
      <c r="B108" s="83">
        <v>10</v>
      </c>
      <c r="C108" s="83" t="s">
        <v>166</v>
      </c>
      <c r="D108" s="83">
        <v>15</v>
      </c>
      <c r="E108" s="84">
        <v>4573</v>
      </c>
    </row>
    <row r="109" spans="1:5" s="85" customFormat="1" ht="12" x14ac:dyDescent="0.2">
      <c r="A109" s="83">
        <f t="shared" si="1"/>
        <v>10016</v>
      </c>
      <c r="B109" s="83">
        <v>10</v>
      </c>
      <c r="C109" s="83" t="s">
        <v>166</v>
      </c>
      <c r="D109" s="83">
        <v>16</v>
      </c>
      <c r="E109" s="84">
        <v>4573</v>
      </c>
    </row>
    <row r="110" spans="1:5" s="85" customFormat="1" ht="12" x14ac:dyDescent="0.2">
      <c r="A110" s="83">
        <f t="shared" si="1"/>
        <v>10017</v>
      </c>
      <c r="B110" s="83">
        <v>10</v>
      </c>
      <c r="C110" s="83" t="s">
        <v>166</v>
      </c>
      <c r="D110" s="83">
        <v>17</v>
      </c>
      <c r="E110" s="84">
        <v>4573</v>
      </c>
    </row>
    <row r="111" spans="1:5" s="85" customFormat="1" ht="12" x14ac:dyDescent="0.2">
      <c r="A111" s="83">
        <f t="shared" si="1"/>
        <v>11002</v>
      </c>
      <c r="B111" s="86">
        <v>11</v>
      </c>
      <c r="C111" s="83" t="s">
        <v>167</v>
      </c>
      <c r="D111" s="83">
        <v>2</v>
      </c>
      <c r="E111" s="84">
        <v>2140</v>
      </c>
    </row>
    <row r="112" spans="1:5" s="85" customFormat="1" ht="12" x14ac:dyDescent="0.2">
      <c r="A112" s="83">
        <f t="shared" si="1"/>
        <v>11003</v>
      </c>
      <c r="B112" s="83">
        <v>11</v>
      </c>
      <c r="C112" s="83" t="s">
        <v>167</v>
      </c>
      <c r="D112" s="83">
        <v>3</v>
      </c>
      <c r="E112" s="84">
        <v>2140</v>
      </c>
    </row>
    <row r="113" spans="1:5" s="85" customFormat="1" ht="12" x14ac:dyDescent="0.2">
      <c r="A113" s="83">
        <f t="shared" si="1"/>
        <v>11004</v>
      </c>
      <c r="B113" s="83">
        <v>11</v>
      </c>
      <c r="C113" s="83" t="s">
        <v>167</v>
      </c>
      <c r="D113" s="83">
        <v>4</v>
      </c>
      <c r="E113" s="84">
        <v>1881</v>
      </c>
    </row>
    <row r="114" spans="1:5" s="85" customFormat="1" ht="12" x14ac:dyDescent="0.2">
      <c r="A114" s="83">
        <f t="shared" si="1"/>
        <v>11005</v>
      </c>
      <c r="B114" s="83">
        <v>11</v>
      </c>
      <c r="C114" s="83" t="s">
        <v>167</v>
      </c>
      <c r="D114" s="83">
        <v>5</v>
      </c>
      <c r="E114" s="84">
        <v>1881</v>
      </c>
    </row>
    <row r="115" spans="1:5" s="85" customFormat="1" ht="12" x14ac:dyDescent="0.2">
      <c r="A115" s="83">
        <f t="shared" si="1"/>
        <v>11006</v>
      </c>
      <c r="B115" s="83">
        <v>11</v>
      </c>
      <c r="C115" s="83" t="s">
        <v>167</v>
      </c>
      <c r="D115" s="83">
        <v>6</v>
      </c>
      <c r="E115" s="84">
        <v>2140</v>
      </c>
    </row>
    <row r="116" spans="1:5" s="85" customFormat="1" ht="12" x14ac:dyDescent="0.2">
      <c r="A116" s="83">
        <f t="shared" si="1"/>
        <v>11007</v>
      </c>
      <c r="B116" s="83">
        <v>11</v>
      </c>
      <c r="C116" s="83" t="s">
        <v>167</v>
      </c>
      <c r="D116" s="83">
        <v>7</v>
      </c>
      <c r="E116" s="84">
        <v>1881</v>
      </c>
    </row>
    <row r="117" spans="1:5" s="85" customFormat="1" ht="12" x14ac:dyDescent="0.2">
      <c r="A117" s="83">
        <f t="shared" si="1"/>
        <v>11008</v>
      </c>
      <c r="B117" s="83">
        <v>11</v>
      </c>
      <c r="C117" s="83" t="s">
        <v>167</v>
      </c>
      <c r="D117" s="83">
        <v>8</v>
      </c>
      <c r="E117" s="84">
        <v>1881</v>
      </c>
    </row>
    <row r="118" spans="1:5" s="85" customFormat="1" ht="12" x14ac:dyDescent="0.2">
      <c r="A118" s="83">
        <f t="shared" si="1"/>
        <v>11009</v>
      </c>
      <c r="B118" s="83">
        <v>11</v>
      </c>
      <c r="C118" s="83" t="s">
        <v>167</v>
      </c>
      <c r="D118" s="83">
        <v>9</v>
      </c>
      <c r="E118" s="84">
        <v>1945</v>
      </c>
    </row>
    <row r="119" spans="1:5" s="85" customFormat="1" ht="12" x14ac:dyDescent="0.2">
      <c r="A119" s="83">
        <f t="shared" si="1"/>
        <v>11010</v>
      </c>
      <c r="B119" s="83">
        <v>11</v>
      </c>
      <c r="C119" s="83" t="s">
        <v>167</v>
      </c>
      <c r="D119" s="83">
        <v>10</v>
      </c>
      <c r="E119" s="84">
        <v>1881</v>
      </c>
    </row>
    <row r="120" spans="1:5" s="85" customFormat="1" ht="12" x14ac:dyDescent="0.2">
      <c r="A120" s="83">
        <f t="shared" si="1"/>
        <v>11011</v>
      </c>
      <c r="B120" s="83">
        <v>11</v>
      </c>
      <c r="C120" s="83" t="s">
        <v>167</v>
      </c>
      <c r="D120" s="83">
        <v>11</v>
      </c>
      <c r="E120" s="84">
        <v>1945</v>
      </c>
    </row>
    <row r="121" spans="1:5" s="85" customFormat="1" ht="12" x14ac:dyDescent="0.2">
      <c r="A121" s="83">
        <f t="shared" si="1"/>
        <v>11012</v>
      </c>
      <c r="B121" s="83">
        <v>11</v>
      </c>
      <c r="C121" s="83" t="s">
        <v>167</v>
      </c>
      <c r="D121" s="83">
        <v>12</v>
      </c>
      <c r="E121" s="84">
        <v>2140</v>
      </c>
    </row>
    <row r="122" spans="1:5" s="85" customFormat="1" ht="12" x14ac:dyDescent="0.2">
      <c r="A122" s="83">
        <f t="shared" si="1"/>
        <v>12001</v>
      </c>
      <c r="B122" s="83">
        <v>12</v>
      </c>
      <c r="C122" s="83" t="s">
        <v>168</v>
      </c>
      <c r="D122" s="83">
        <v>1</v>
      </c>
      <c r="E122" s="84">
        <v>3037</v>
      </c>
    </row>
    <row r="123" spans="1:5" s="85" customFormat="1" ht="12" x14ac:dyDescent="0.2">
      <c r="A123" s="83">
        <f t="shared" si="1"/>
        <v>12002</v>
      </c>
      <c r="B123" s="83">
        <v>12</v>
      </c>
      <c r="C123" s="83" t="s">
        <v>168</v>
      </c>
      <c r="D123" s="83">
        <v>2</v>
      </c>
      <c r="E123" s="84">
        <v>3037</v>
      </c>
    </row>
    <row r="124" spans="1:5" s="85" customFormat="1" ht="12" x14ac:dyDescent="0.2">
      <c r="A124" s="83">
        <f t="shared" si="1"/>
        <v>12003</v>
      </c>
      <c r="B124" s="83">
        <v>12</v>
      </c>
      <c r="C124" s="83" t="s">
        <v>168</v>
      </c>
      <c r="D124" s="83">
        <v>3</v>
      </c>
      <c r="E124" s="84">
        <v>3037</v>
      </c>
    </row>
    <row r="125" spans="1:5" s="85" customFormat="1" ht="12" x14ac:dyDescent="0.2">
      <c r="A125" s="83">
        <f t="shared" si="1"/>
        <v>12004</v>
      </c>
      <c r="B125" s="83">
        <v>12</v>
      </c>
      <c r="C125" s="83" t="s">
        <v>168</v>
      </c>
      <c r="D125" s="83">
        <v>4</v>
      </c>
      <c r="E125" s="84">
        <v>3037</v>
      </c>
    </row>
    <row r="126" spans="1:5" s="85" customFormat="1" ht="12" x14ac:dyDescent="0.2">
      <c r="A126" s="83">
        <f t="shared" si="1"/>
        <v>12005</v>
      </c>
      <c r="B126" s="83">
        <v>12</v>
      </c>
      <c r="C126" s="83" t="s">
        <v>168</v>
      </c>
      <c r="D126" s="83">
        <v>5</v>
      </c>
      <c r="E126" s="84">
        <v>3142</v>
      </c>
    </row>
    <row r="127" spans="1:5" s="85" customFormat="1" ht="12" x14ac:dyDescent="0.2">
      <c r="A127" s="83">
        <f t="shared" si="1"/>
        <v>12006</v>
      </c>
      <c r="B127" s="83">
        <v>12</v>
      </c>
      <c r="C127" s="83" t="s">
        <v>168</v>
      </c>
      <c r="D127" s="83">
        <v>6</v>
      </c>
      <c r="E127" s="84">
        <v>3037</v>
      </c>
    </row>
    <row r="128" spans="1:5" s="85" customFormat="1" ht="12" x14ac:dyDescent="0.2">
      <c r="A128" s="83">
        <f t="shared" si="1"/>
        <v>12007</v>
      </c>
      <c r="B128" s="83">
        <v>12</v>
      </c>
      <c r="C128" s="83" t="s">
        <v>168</v>
      </c>
      <c r="D128" s="83">
        <v>7</v>
      </c>
      <c r="E128" s="84">
        <v>2932</v>
      </c>
    </row>
    <row r="129" spans="1:5" s="85" customFormat="1" ht="12" x14ac:dyDescent="0.2">
      <c r="A129" s="83">
        <f t="shared" si="1"/>
        <v>12008</v>
      </c>
      <c r="B129" s="83">
        <v>12</v>
      </c>
      <c r="C129" s="83" t="s">
        <v>168</v>
      </c>
      <c r="D129" s="83">
        <v>8</v>
      </c>
      <c r="E129" s="84">
        <v>2723</v>
      </c>
    </row>
    <row r="130" spans="1:5" s="85" customFormat="1" ht="12" x14ac:dyDescent="0.2">
      <c r="A130" s="83">
        <f t="shared" si="1"/>
        <v>12009</v>
      </c>
      <c r="B130" s="83">
        <v>12</v>
      </c>
      <c r="C130" s="83" t="s">
        <v>168</v>
      </c>
      <c r="D130" s="83">
        <v>9</v>
      </c>
      <c r="E130" s="84">
        <v>2723</v>
      </c>
    </row>
    <row r="131" spans="1:5" s="85" customFormat="1" ht="12" x14ac:dyDescent="0.2">
      <c r="A131" s="83">
        <f t="shared" ref="A131:A194" si="2">+B131*1000+D131</f>
        <v>12010</v>
      </c>
      <c r="B131" s="83">
        <v>12</v>
      </c>
      <c r="C131" s="83" t="s">
        <v>168</v>
      </c>
      <c r="D131" s="83">
        <v>10</v>
      </c>
      <c r="E131" s="84">
        <v>3037</v>
      </c>
    </row>
    <row r="132" spans="1:5" s="85" customFormat="1" ht="12" x14ac:dyDescent="0.2">
      <c r="A132" s="83">
        <f t="shared" si="2"/>
        <v>12011</v>
      </c>
      <c r="B132" s="83">
        <v>12</v>
      </c>
      <c r="C132" s="83" t="s">
        <v>168</v>
      </c>
      <c r="D132" s="83">
        <v>11</v>
      </c>
      <c r="E132" s="84">
        <v>3037</v>
      </c>
    </row>
    <row r="133" spans="1:5" s="85" customFormat="1" ht="12" x14ac:dyDescent="0.2">
      <c r="A133" s="83">
        <f t="shared" si="2"/>
        <v>12012</v>
      </c>
      <c r="B133" s="83">
        <v>12</v>
      </c>
      <c r="C133" s="83" t="s">
        <v>168</v>
      </c>
      <c r="D133" s="83">
        <v>12</v>
      </c>
      <c r="E133" s="84">
        <v>3142</v>
      </c>
    </row>
    <row r="134" spans="1:5" s="85" customFormat="1" ht="12" x14ac:dyDescent="0.2">
      <c r="A134" s="83">
        <f t="shared" si="2"/>
        <v>13001</v>
      </c>
      <c r="B134" s="83">
        <v>13</v>
      </c>
      <c r="C134" s="83" t="s">
        <v>169</v>
      </c>
      <c r="D134" s="83">
        <v>1</v>
      </c>
      <c r="E134" s="84">
        <v>2069</v>
      </c>
    </row>
    <row r="135" spans="1:5" s="85" customFormat="1" ht="12" x14ac:dyDescent="0.2">
      <c r="A135" s="83">
        <f t="shared" si="2"/>
        <v>13002</v>
      </c>
      <c r="B135" s="83">
        <v>13</v>
      </c>
      <c r="C135" s="83" t="s">
        <v>169</v>
      </c>
      <c r="D135" s="83">
        <v>2</v>
      </c>
      <c r="E135" s="84">
        <v>2069</v>
      </c>
    </row>
    <row r="136" spans="1:5" s="85" customFormat="1" ht="12" x14ac:dyDescent="0.2">
      <c r="A136" s="83">
        <f t="shared" si="2"/>
        <v>13003</v>
      </c>
      <c r="B136" s="83">
        <v>13</v>
      </c>
      <c r="C136" s="83" t="s">
        <v>169</v>
      </c>
      <c r="D136" s="83">
        <v>3</v>
      </c>
      <c r="E136" s="84">
        <v>2069</v>
      </c>
    </row>
    <row r="137" spans="1:5" s="85" customFormat="1" ht="12" x14ac:dyDescent="0.2">
      <c r="A137" s="83">
        <f t="shared" si="2"/>
        <v>13004</v>
      </c>
      <c r="B137" s="83">
        <v>13</v>
      </c>
      <c r="C137" s="83" t="s">
        <v>169</v>
      </c>
      <c r="D137" s="83">
        <v>4</v>
      </c>
      <c r="E137" s="84">
        <v>2069</v>
      </c>
    </row>
    <row r="138" spans="1:5" s="85" customFormat="1" ht="12" x14ac:dyDescent="0.2">
      <c r="A138" s="83">
        <f t="shared" si="2"/>
        <v>13005</v>
      </c>
      <c r="B138" s="83">
        <v>13</v>
      </c>
      <c r="C138" s="83" t="s">
        <v>169</v>
      </c>
      <c r="D138" s="83">
        <v>5</v>
      </c>
      <c r="E138" s="84">
        <v>2069</v>
      </c>
    </row>
    <row r="139" spans="1:5" s="85" customFormat="1" ht="12" x14ac:dyDescent="0.2">
      <c r="A139" s="83">
        <f t="shared" si="2"/>
        <v>13006</v>
      </c>
      <c r="B139" s="83">
        <v>13</v>
      </c>
      <c r="C139" s="83" t="s">
        <v>169</v>
      </c>
      <c r="D139" s="83">
        <v>6</v>
      </c>
      <c r="E139" s="84">
        <v>2069</v>
      </c>
    </row>
    <row r="140" spans="1:5" s="85" customFormat="1" ht="12" x14ac:dyDescent="0.2">
      <c r="A140" s="83">
        <f t="shared" si="2"/>
        <v>13007</v>
      </c>
      <c r="B140" s="83">
        <v>13</v>
      </c>
      <c r="C140" s="83" t="s">
        <v>169</v>
      </c>
      <c r="D140" s="83">
        <v>7</v>
      </c>
      <c r="E140" s="84">
        <v>2069</v>
      </c>
    </row>
    <row r="141" spans="1:5" s="85" customFormat="1" ht="12" x14ac:dyDescent="0.2">
      <c r="A141" s="83">
        <f t="shared" si="2"/>
        <v>13008</v>
      </c>
      <c r="B141" s="83">
        <v>13</v>
      </c>
      <c r="C141" s="83" t="s">
        <v>169</v>
      </c>
      <c r="D141" s="83">
        <v>8</v>
      </c>
      <c r="E141" s="84">
        <v>2069</v>
      </c>
    </row>
    <row r="142" spans="1:5" s="85" customFormat="1" ht="12" x14ac:dyDescent="0.2">
      <c r="A142" s="83">
        <f t="shared" si="2"/>
        <v>13009</v>
      </c>
      <c r="B142" s="83">
        <v>13</v>
      </c>
      <c r="C142" s="83" t="s">
        <v>169</v>
      </c>
      <c r="D142" s="83">
        <v>9</v>
      </c>
      <c r="E142" s="84">
        <v>2069</v>
      </c>
    </row>
    <row r="143" spans="1:5" s="85" customFormat="1" ht="12" x14ac:dyDescent="0.2">
      <c r="A143" s="83">
        <f t="shared" si="2"/>
        <v>14001</v>
      </c>
      <c r="B143" s="83">
        <v>14</v>
      </c>
      <c r="C143" s="83" t="s">
        <v>170</v>
      </c>
      <c r="D143" s="83">
        <v>1</v>
      </c>
      <c r="E143" s="84">
        <v>3545</v>
      </c>
    </row>
    <row r="144" spans="1:5" s="85" customFormat="1" ht="12" x14ac:dyDescent="0.2">
      <c r="A144" s="83">
        <f t="shared" si="2"/>
        <v>14002</v>
      </c>
      <c r="B144" s="83">
        <v>14</v>
      </c>
      <c r="C144" s="83" t="s">
        <v>170</v>
      </c>
      <c r="D144" s="83">
        <v>2</v>
      </c>
      <c r="E144" s="84">
        <v>3545</v>
      </c>
    </row>
    <row r="145" spans="1:5" s="85" customFormat="1" ht="12" x14ac:dyDescent="0.2">
      <c r="A145" s="83">
        <f t="shared" si="2"/>
        <v>14003</v>
      </c>
      <c r="B145" s="83">
        <v>14</v>
      </c>
      <c r="C145" s="83" t="s">
        <v>170</v>
      </c>
      <c r="D145" s="83">
        <v>3</v>
      </c>
      <c r="E145" s="84">
        <v>3545</v>
      </c>
    </row>
    <row r="146" spans="1:5" s="85" customFormat="1" ht="12" x14ac:dyDescent="0.2">
      <c r="A146" s="83">
        <f t="shared" si="2"/>
        <v>14004</v>
      </c>
      <c r="B146" s="83">
        <v>14</v>
      </c>
      <c r="C146" s="83" t="s">
        <v>170</v>
      </c>
      <c r="D146" s="83">
        <v>4</v>
      </c>
      <c r="E146" s="84">
        <v>3545</v>
      </c>
    </row>
    <row r="147" spans="1:5" s="85" customFormat="1" ht="12" x14ac:dyDescent="0.2">
      <c r="A147" s="83">
        <f t="shared" si="2"/>
        <v>15001</v>
      </c>
      <c r="B147" s="83">
        <v>15</v>
      </c>
      <c r="C147" s="83" t="s">
        <v>171</v>
      </c>
      <c r="D147" s="83">
        <v>1</v>
      </c>
      <c r="E147" s="84">
        <v>2470</v>
      </c>
    </row>
    <row r="148" spans="1:5" s="85" customFormat="1" ht="12" x14ac:dyDescent="0.2">
      <c r="A148" s="83">
        <f t="shared" si="2"/>
        <v>15002</v>
      </c>
      <c r="B148" s="83">
        <v>15</v>
      </c>
      <c r="C148" s="83" t="s">
        <v>171</v>
      </c>
      <c r="D148" s="83">
        <v>2</v>
      </c>
      <c r="E148" s="84">
        <v>2470</v>
      </c>
    </row>
    <row r="149" spans="1:5" s="85" customFormat="1" ht="12" x14ac:dyDescent="0.2">
      <c r="A149" s="83">
        <f t="shared" si="2"/>
        <v>15003</v>
      </c>
      <c r="B149" s="83">
        <v>15</v>
      </c>
      <c r="C149" s="83" t="s">
        <v>171</v>
      </c>
      <c r="D149" s="83">
        <v>3</v>
      </c>
      <c r="E149" s="84">
        <v>2470</v>
      </c>
    </row>
    <row r="150" spans="1:5" s="85" customFormat="1" ht="12" x14ac:dyDescent="0.2">
      <c r="A150" s="83">
        <f t="shared" si="2"/>
        <v>15004</v>
      </c>
      <c r="B150" s="83">
        <v>15</v>
      </c>
      <c r="C150" s="83" t="s">
        <v>171</v>
      </c>
      <c r="D150" s="83">
        <v>4</v>
      </c>
      <c r="E150" s="84">
        <v>2470</v>
      </c>
    </row>
    <row r="151" spans="1:5" s="85" customFormat="1" ht="12" x14ac:dyDescent="0.2">
      <c r="A151" s="83">
        <f t="shared" si="2"/>
        <v>15005</v>
      </c>
      <c r="B151" s="83">
        <v>15</v>
      </c>
      <c r="C151" s="83" t="s">
        <v>171</v>
      </c>
      <c r="D151" s="83">
        <v>5</v>
      </c>
      <c r="E151" s="84">
        <v>2385</v>
      </c>
    </row>
    <row r="152" spans="1:5" s="85" customFormat="1" ht="12" x14ac:dyDescent="0.2">
      <c r="A152" s="83">
        <f t="shared" si="2"/>
        <v>15006</v>
      </c>
      <c r="B152" s="83">
        <v>15</v>
      </c>
      <c r="C152" s="83" t="s">
        <v>171</v>
      </c>
      <c r="D152" s="83">
        <v>6</v>
      </c>
      <c r="E152" s="84">
        <v>2385</v>
      </c>
    </row>
    <row r="153" spans="1:5" s="85" customFormat="1" ht="12" x14ac:dyDescent="0.2">
      <c r="A153" s="83">
        <f t="shared" si="2"/>
        <v>15007</v>
      </c>
      <c r="B153" s="83">
        <v>15</v>
      </c>
      <c r="C153" s="83" t="s">
        <v>171</v>
      </c>
      <c r="D153" s="83">
        <v>7</v>
      </c>
      <c r="E153" s="84">
        <v>2385</v>
      </c>
    </row>
    <row r="154" spans="1:5" s="85" customFormat="1" ht="12" x14ac:dyDescent="0.2">
      <c r="A154" s="83">
        <f t="shared" si="2"/>
        <v>15008</v>
      </c>
      <c r="B154" s="83">
        <v>15</v>
      </c>
      <c r="C154" s="83" t="s">
        <v>171</v>
      </c>
      <c r="D154" s="83">
        <v>8</v>
      </c>
      <c r="E154" s="84">
        <v>2385</v>
      </c>
    </row>
    <row r="155" spans="1:5" s="85" customFormat="1" ht="12" x14ac:dyDescent="0.2">
      <c r="A155" s="83">
        <f t="shared" si="2"/>
        <v>16001</v>
      </c>
      <c r="B155" s="83">
        <v>16</v>
      </c>
      <c r="C155" s="83" t="s">
        <v>172</v>
      </c>
      <c r="D155" s="83">
        <v>1</v>
      </c>
      <c r="E155" s="84">
        <v>2289</v>
      </c>
    </row>
    <row r="156" spans="1:5" s="85" customFormat="1" ht="12" x14ac:dyDescent="0.2">
      <c r="A156" s="83">
        <f t="shared" si="2"/>
        <v>16002</v>
      </c>
      <c r="B156" s="83">
        <v>16</v>
      </c>
      <c r="C156" s="83" t="s">
        <v>172</v>
      </c>
      <c r="D156" s="83">
        <v>2</v>
      </c>
      <c r="E156" s="84">
        <v>2289</v>
      </c>
    </row>
    <row r="157" spans="1:5" s="85" customFormat="1" ht="12" x14ac:dyDescent="0.2">
      <c r="A157" s="83">
        <f t="shared" si="2"/>
        <v>16003</v>
      </c>
      <c r="B157" s="83">
        <v>16</v>
      </c>
      <c r="C157" s="83" t="s">
        <v>172</v>
      </c>
      <c r="D157" s="83">
        <v>3</v>
      </c>
      <c r="E157" s="84">
        <v>2358</v>
      </c>
    </row>
    <row r="158" spans="1:5" s="85" customFormat="1" ht="12" x14ac:dyDescent="0.2">
      <c r="A158" s="83">
        <f t="shared" si="2"/>
        <v>16004</v>
      </c>
      <c r="B158" s="83">
        <v>16</v>
      </c>
      <c r="C158" s="83" t="s">
        <v>172</v>
      </c>
      <c r="D158" s="83">
        <v>4</v>
      </c>
      <c r="E158" s="84">
        <v>2081</v>
      </c>
    </row>
    <row r="159" spans="1:5" s="85" customFormat="1" ht="12" x14ac:dyDescent="0.2">
      <c r="A159" s="83">
        <f t="shared" si="2"/>
        <v>16005</v>
      </c>
      <c r="B159" s="83">
        <v>16</v>
      </c>
      <c r="C159" s="83" t="s">
        <v>172</v>
      </c>
      <c r="D159" s="83">
        <v>5</v>
      </c>
      <c r="E159" s="84">
        <v>2081</v>
      </c>
    </row>
    <row r="160" spans="1:5" s="85" customFormat="1" ht="12" x14ac:dyDescent="0.2">
      <c r="A160" s="83">
        <f t="shared" si="2"/>
        <v>16006</v>
      </c>
      <c r="B160" s="83">
        <v>16</v>
      </c>
      <c r="C160" s="83" t="s">
        <v>172</v>
      </c>
      <c r="D160" s="83">
        <v>6</v>
      </c>
      <c r="E160" s="84">
        <v>2012</v>
      </c>
    </row>
    <row r="161" spans="1:5" s="85" customFormat="1" ht="12" x14ac:dyDescent="0.2">
      <c r="A161" s="83">
        <f t="shared" si="2"/>
        <v>16007</v>
      </c>
      <c r="B161" s="83">
        <v>16</v>
      </c>
      <c r="C161" s="83" t="s">
        <v>172</v>
      </c>
      <c r="D161" s="83">
        <v>7</v>
      </c>
      <c r="E161" s="84">
        <v>2081</v>
      </c>
    </row>
    <row r="162" spans="1:5" s="85" customFormat="1" ht="12" x14ac:dyDescent="0.2">
      <c r="A162" s="83">
        <f t="shared" si="2"/>
        <v>16008</v>
      </c>
      <c r="B162" s="83">
        <v>16</v>
      </c>
      <c r="C162" s="83" t="s">
        <v>172</v>
      </c>
      <c r="D162" s="83">
        <v>8</v>
      </c>
      <c r="E162" s="84">
        <v>2289</v>
      </c>
    </row>
    <row r="163" spans="1:5" s="85" customFormat="1" ht="12" x14ac:dyDescent="0.2">
      <c r="A163" s="83">
        <f t="shared" si="2"/>
        <v>16009</v>
      </c>
      <c r="B163" s="83">
        <v>16</v>
      </c>
      <c r="C163" s="83" t="s">
        <v>172</v>
      </c>
      <c r="D163" s="83">
        <v>9</v>
      </c>
      <c r="E163" s="84">
        <v>2081</v>
      </c>
    </row>
    <row r="164" spans="1:5" s="85" customFormat="1" ht="12" x14ac:dyDescent="0.2">
      <c r="A164" s="83">
        <f t="shared" si="2"/>
        <v>16010</v>
      </c>
      <c r="B164" s="83">
        <v>16</v>
      </c>
      <c r="C164" s="83" t="s">
        <v>172</v>
      </c>
      <c r="D164" s="83">
        <v>10</v>
      </c>
      <c r="E164" s="84">
        <v>2289</v>
      </c>
    </row>
    <row r="165" spans="1:5" s="85" customFormat="1" ht="12" x14ac:dyDescent="0.2">
      <c r="A165" s="83">
        <f t="shared" si="2"/>
        <v>16011</v>
      </c>
      <c r="B165" s="83">
        <v>16</v>
      </c>
      <c r="C165" s="83" t="s">
        <v>172</v>
      </c>
      <c r="D165" s="83">
        <v>11</v>
      </c>
      <c r="E165" s="84">
        <v>2358</v>
      </c>
    </row>
    <row r="166" spans="1:5" s="85" customFormat="1" ht="12" x14ac:dyDescent="0.2">
      <c r="A166" s="83">
        <f t="shared" si="2"/>
        <v>17001</v>
      </c>
      <c r="B166" s="83">
        <v>17</v>
      </c>
      <c r="C166" s="83" t="s">
        <v>173</v>
      </c>
      <c r="D166" s="83">
        <v>1</v>
      </c>
      <c r="E166" s="84">
        <v>1612</v>
      </c>
    </row>
    <row r="167" spans="1:5" s="85" customFormat="1" ht="12" x14ac:dyDescent="0.2">
      <c r="A167" s="83">
        <f t="shared" si="2"/>
        <v>17002</v>
      </c>
      <c r="B167" s="83">
        <v>17</v>
      </c>
      <c r="C167" s="83" t="s">
        <v>173</v>
      </c>
      <c r="D167" s="83">
        <v>2</v>
      </c>
      <c r="E167" s="84">
        <v>1834</v>
      </c>
    </row>
    <row r="168" spans="1:5" s="85" customFormat="1" ht="12" x14ac:dyDescent="0.2">
      <c r="A168" s="83">
        <f t="shared" si="2"/>
        <v>17003</v>
      </c>
      <c r="B168" s="83">
        <v>17</v>
      </c>
      <c r="C168" s="83" t="s">
        <v>173</v>
      </c>
      <c r="D168" s="83">
        <v>3</v>
      </c>
      <c r="E168" s="84">
        <v>1612</v>
      </c>
    </row>
    <row r="169" spans="1:5" s="85" customFormat="1" ht="12" x14ac:dyDescent="0.2">
      <c r="A169" s="83">
        <f t="shared" si="2"/>
        <v>17004</v>
      </c>
      <c r="B169" s="83">
        <v>17</v>
      </c>
      <c r="C169" s="83" t="s">
        <v>173</v>
      </c>
      <c r="D169" s="83">
        <v>4</v>
      </c>
      <c r="E169" s="84">
        <v>1612</v>
      </c>
    </row>
    <row r="170" spans="1:5" s="85" customFormat="1" ht="12" x14ac:dyDescent="0.2">
      <c r="A170" s="83">
        <f t="shared" si="2"/>
        <v>17005</v>
      </c>
      <c r="B170" s="83">
        <v>17</v>
      </c>
      <c r="C170" s="83" t="s">
        <v>173</v>
      </c>
      <c r="D170" s="83">
        <v>5</v>
      </c>
      <c r="E170" s="84">
        <v>1612</v>
      </c>
    </row>
    <row r="171" spans="1:5" s="85" customFormat="1" ht="12" x14ac:dyDescent="0.2">
      <c r="A171" s="83">
        <f t="shared" si="2"/>
        <v>17006</v>
      </c>
      <c r="B171" s="83">
        <v>17</v>
      </c>
      <c r="C171" s="83" t="s">
        <v>173</v>
      </c>
      <c r="D171" s="83">
        <v>6</v>
      </c>
      <c r="E171" s="84">
        <v>1612</v>
      </c>
    </row>
    <row r="172" spans="1:5" s="85" customFormat="1" ht="12" x14ac:dyDescent="0.2">
      <c r="A172" s="83">
        <f t="shared" si="2"/>
        <v>17007</v>
      </c>
      <c r="B172" s="83">
        <v>17</v>
      </c>
      <c r="C172" s="83" t="s">
        <v>173</v>
      </c>
      <c r="D172" s="83">
        <v>7</v>
      </c>
      <c r="E172" s="84">
        <v>1667</v>
      </c>
    </row>
    <row r="173" spans="1:5" s="85" customFormat="1" ht="12" x14ac:dyDescent="0.2">
      <c r="A173" s="83">
        <f t="shared" si="2"/>
        <v>17008</v>
      </c>
      <c r="B173" s="83">
        <v>17</v>
      </c>
      <c r="C173" s="83" t="s">
        <v>173</v>
      </c>
      <c r="D173" s="83">
        <v>8</v>
      </c>
      <c r="E173" s="84">
        <v>1667</v>
      </c>
    </row>
    <row r="174" spans="1:5" s="85" customFormat="1" ht="12" x14ac:dyDescent="0.2">
      <c r="A174" s="83">
        <f t="shared" si="2"/>
        <v>17009</v>
      </c>
      <c r="B174" s="83">
        <v>17</v>
      </c>
      <c r="C174" s="83" t="s">
        <v>173</v>
      </c>
      <c r="D174" s="83">
        <v>9</v>
      </c>
      <c r="E174" s="84">
        <v>1612</v>
      </c>
    </row>
    <row r="175" spans="1:5" s="85" customFormat="1" ht="12" x14ac:dyDescent="0.2">
      <c r="A175" s="83">
        <f t="shared" si="2"/>
        <v>17010</v>
      </c>
      <c r="B175" s="83">
        <v>17</v>
      </c>
      <c r="C175" s="83" t="s">
        <v>173</v>
      </c>
      <c r="D175" s="83">
        <v>10</v>
      </c>
      <c r="E175" s="84">
        <v>1667</v>
      </c>
    </row>
    <row r="176" spans="1:5" s="85" customFormat="1" ht="12" x14ac:dyDescent="0.2">
      <c r="A176" s="83">
        <f t="shared" si="2"/>
        <v>18001</v>
      </c>
      <c r="B176" s="83">
        <v>18</v>
      </c>
      <c r="C176" s="83" t="s">
        <v>174</v>
      </c>
      <c r="D176" s="83">
        <v>1</v>
      </c>
      <c r="E176" s="84">
        <v>4287</v>
      </c>
    </row>
    <row r="177" spans="1:5" s="85" customFormat="1" ht="12" x14ac:dyDescent="0.2">
      <c r="A177" s="83">
        <f t="shared" si="2"/>
        <v>18002</v>
      </c>
      <c r="B177" s="83">
        <v>18</v>
      </c>
      <c r="C177" s="83" t="s">
        <v>174</v>
      </c>
      <c r="D177" s="83">
        <v>2</v>
      </c>
      <c r="E177" s="84">
        <v>4287</v>
      </c>
    </row>
    <row r="178" spans="1:5" s="85" customFormat="1" ht="12" x14ac:dyDescent="0.2">
      <c r="A178" s="83">
        <f t="shared" si="2"/>
        <v>18003</v>
      </c>
      <c r="B178" s="83">
        <v>18</v>
      </c>
      <c r="C178" s="83" t="s">
        <v>174</v>
      </c>
      <c r="D178" s="83">
        <v>3</v>
      </c>
      <c r="E178" s="84">
        <v>3782</v>
      </c>
    </row>
    <row r="179" spans="1:5" s="85" customFormat="1" ht="12" x14ac:dyDescent="0.2">
      <c r="A179" s="83">
        <f t="shared" si="2"/>
        <v>18004</v>
      </c>
      <c r="B179" s="83">
        <v>18</v>
      </c>
      <c r="C179" s="83" t="s">
        <v>174</v>
      </c>
      <c r="D179" s="83">
        <v>4</v>
      </c>
      <c r="E179" s="84">
        <v>3782</v>
      </c>
    </row>
    <row r="180" spans="1:5" s="85" customFormat="1" ht="12" x14ac:dyDescent="0.2">
      <c r="A180" s="83">
        <f t="shared" si="2"/>
        <v>18005</v>
      </c>
      <c r="B180" s="83">
        <v>18</v>
      </c>
      <c r="C180" s="83" t="s">
        <v>174</v>
      </c>
      <c r="D180" s="83">
        <v>5</v>
      </c>
      <c r="E180" s="84">
        <v>3782</v>
      </c>
    </row>
    <row r="181" spans="1:5" s="85" customFormat="1" ht="12" x14ac:dyDescent="0.2">
      <c r="A181" s="83">
        <f t="shared" si="2"/>
        <v>18006</v>
      </c>
      <c r="B181" s="83">
        <v>18</v>
      </c>
      <c r="C181" s="83" t="s">
        <v>174</v>
      </c>
      <c r="D181" s="83">
        <v>6</v>
      </c>
      <c r="E181" s="84">
        <v>3782</v>
      </c>
    </row>
    <row r="182" spans="1:5" s="85" customFormat="1" ht="12" x14ac:dyDescent="0.2">
      <c r="A182" s="83">
        <f t="shared" si="2"/>
        <v>18007</v>
      </c>
      <c r="B182" s="83">
        <v>18</v>
      </c>
      <c r="C182" s="83" t="s">
        <v>174</v>
      </c>
      <c r="D182" s="83">
        <v>7</v>
      </c>
      <c r="E182" s="84">
        <v>3782</v>
      </c>
    </row>
    <row r="183" spans="1:5" s="85" customFormat="1" ht="12" x14ac:dyDescent="0.2">
      <c r="A183" s="83">
        <f t="shared" si="2"/>
        <v>18008</v>
      </c>
      <c r="B183" s="83">
        <v>18</v>
      </c>
      <c r="C183" s="83" t="s">
        <v>174</v>
      </c>
      <c r="D183" s="83">
        <v>8</v>
      </c>
      <c r="E183" s="84">
        <v>3782</v>
      </c>
    </row>
    <row r="184" spans="1:5" s="85" customFormat="1" ht="12" x14ac:dyDescent="0.2">
      <c r="A184" s="83">
        <f t="shared" si="2"/>
        <v>19001</v>
      </c>
      <c r="B184" s="83">
        <v>19</v>
      </c>
      <c r="C184" s="83" t="s">
        <v>175</v>
      </c>
      <c r="D184" s="83">
        <v>1</v>
      </c>
      <c r="E184" s="84">
        <v>1720</v>
      </c>
    </row>
    <row r="185" spans="1:5" s="85" customFormat="1" ht="12" x14ac:dyDescent="0.2">
      <c r="A185" s="83">
        <f t="shared" si="2"/>
        <v>19002</v>
      </c>
      <c r="B185" s="83">
        <v>19</v>
      </c>
      <c r="C185" s="83" t="s">
        <v>175</v>
      </c>
      <c r="D185" s="83">
        <v>2</v>
      </c>
      <c r="E185" s="84">
        <v>1720</v>
      </c>
    </row>
    <row r="186" spans="1:5" s="85" customFormat="1" ht="12" x14ac:dyDescent="0.2">
      <c r="A186" s="83">
        <f t="shared" si="2"/>
        <v>19003</v>
      </c>
      <c r="B186" s="83">
        <v>19</v>
      </c>
      <c r="C186" s="83" t="s">
        <v>175</v>
      </c>
      <c r="D186" s="83">
        <v>3</v>
      </c>
      <c r="E186" s="84">
        <v>1542</v>
      </c>
    </row>
    <row r="187" spans="1:5" s="85" customFormat="1" ht="12" x14ac:dyDescent="0.2">
      <c r="A187" s="83">
        <f t="shared" si="2"/>
        <v>19004</v>
      </c>
      <c r="B187" s="83">
        <v>19</v>
      </c>
      <c r="C187" s="83" t="s">
        <v>175</v>
      </c>
      <c r="D187" s="83">
        <v>4</v>
      </c>
      <c r="E187" s="84">
        <v>1424</v>
      </c>
    </row>
    <row r="188" spans="1:5" s="85" customFormat="1" ht="12" x14ac:dyDescent="0.2">
      <c r="A188" s="83">
        <f t="shared" si="2"/>
        <v>19005</v>
      </c>
      <c r="B188" s="83">
        <v>19</v>
      </c>
      <c r="C188" s="83" t="s">
        <v>175</v>
      </c>
      <c r="D188" s="83">
        <v>5</v>
      </c>
      <c r="E188" s="84">
        <v>1661</v>
      </c>
    </row>
    <row r="189" spans="1:5" s="85" customFormat="1" ht="12" x14ac:dyDescent="0.2">
      <c r="A189" s="83">
        <f t="shared" si="2"/>
        <v>19006</v>
      </c>
      <c r="B189" s="83">
        <v>19</v>
      </c>
      <c r="C189" s="83" t="s">
        <v>175</v>
      </c>
      <c r="D189" s="83">
        <v>6</v>
      </c>
      <c r="E189" s="84">
        <v>1720</v>
      </c>
    </row>
    <row r="190" spans="1:5" s="85" customFormat="1" ht="12" x14ac:dyDescent="0.2">
      <c r="A190" s="83">
        <f t="shared" si="2"/>
        <v>19007</v>
      </c>
      <c r="B190" s="83">
        <v>19</v>
      </c>
      <c r="C190" s="83" t="s">
        <v>175</v>
      </c>
      <c r="D190" s="83">
        <v>7</v>
      </c>
      <c r="E190" s="84">
        <v>1720</v>
      </c>
    </row>
    <row r="191" spans="1:5" s="85" customFormat="1" ht="12" x14ac:dyDescent="0.2">
      <c r="A191" s="83">
        <f t="shared" si="2"/>
        <v>19008</v>
      </c>
      <c r="B191" s="83">
        <v>19</v>
      </c>
      <c r="C191" s="83" t="s">
        <v>175</v>
      </c>
      <c r="D191" s="83">
        <v>8</v>
      </c>
      <c r="E191" s="84">
        <v>1720</v>
      </c>
    </row>
    <row r="192" spans="1:5" s="85" customFormat="1" ht="12" x14ac:dyDescent="0.2">
      <c r="A192" s="83">
        <f t="shared" si="2"/>
        <v>19009</v>
      </c>
      <c r="B192" s="83">
        <v>19</v>
      </c>
      <c r="C192" s="83" t="s">
        <v>175</v>
      </c>
      <c r="D192" s="83">
        <v>9</v>
      </c>
      <c r="E192" s="84">
        <v>1720</v>
      </c>
    </row>
    <row r="193" spans="1:5" s="85" customFormat="1" ht="12" x14ac:dyDescent="0.2">
      <c r="A193" s="83">
        <f t="shared" si="2"/>
        <v>19010</v>
      </c>
      <c r="B193" s="83">
        <v>19</v>
      </c>
      <c r="C193" s="83" t="s">
        <v>175</v>
      </c>
      <c r="D193" s="83">
        <v>10</v>
      </c>
      <c r="E193" s="84">
        <v>1720</v>
      </c>
    </row>
    <row r="194" spans="1:5" s="85" customFormat="1" ht="12" x14ac:dyDescent="0.2">
      <c r="A194" s="83">
        <f t="shared" si="2"/>
        <v>19011</v>
      </c>
      <c r="B194" s="83">
        <v>19</v>
      </c>
      <c r="C194" s="83" t="s">
        <v>175</v>
      </c>
      <c r="D194" s="83">
        <v>11</v>
      </c>
      <c r="E194" s="84">
        <v>1720</v>
      </c>
    </row>
    <row r="195" spans="1:5" s="85" customFormat="1" ht="12" x14ac:dyDescent="0.2">
      <c r="A195" s="83">
        <f t="shared" ref="A195:A258" si="3">+B195*1000+D195</f>
        <v>19012</v>
      </c>
      <c r="B195" s="83">
        <v>19</v>
      </c>
      <c r="C195" s="83" t="s">
        <v>175</v>
      </c>
      <c r="D195" s="83">
        <v>12</v>
      </c>
      <c r="E195" s="84">
        <v>1661</v>
      </c>
    </row>
    <row r="196" spans="1:5" s="85" customFormat="1" ht="12" x14ac:dyDescent="0.2">
      <c r="A196" s="83">
        <f t="shared" si="3"/>
        <v>20001</v>
      </c>
      <c r="B196" s="83">
        <v>20</v>
      </c>
      <c r="C196" s="83" t="s">
        <v>176</v>
      </c>
      <c r="D196" s="83">
        <v>1</v>
      </c>
      <c r="E196" s="84">
        <v>1583</v>
      </c>
    </row>
    <row r="197" spans="1:5" s="85" customFormat="1" ht="12" x14ac:dyDescent="0.2">
      <c r="A197" s="83">
        <f t="shared" si="3"/>
        <v>20002</v>
      </c>
      <c r="B197" s="83">
        <v>20</v>
      </c>
      <c r="C197" s="83" t="s">
        <v>176</v>
      </c>
      <c r="D197" s="83">
        <v>2</v>
      </c>
      <c r="E197" s="84">
        <v>1583</v>
      </c>
    </row>
    <row r="198" spans="1:5" s="85" customFormat="1" ht="12" x14ac:dyDescent="0.2">
      <c r="A198" s="83">
        <f t="shared" si="3"/>
        <v>20003</v>
      </c>
      <c r="B198" s="83">
        <v>20</v>
      </c>
      <c r="C198" s="83" t="s">
        <v>176</v>
      </c>
      <c r="D198" s="83">
        <v>3</v>
      </c>
      <c r="E198" s="84">
        <v>1583</v>
      </c>
    </row>
    <row r="199" spans="1:5" s="85" customFormat="1" ht="12" x14ac:dyDescent="0.2">
      <c r="A199" s="83">
        <f t="shared" si="3"/>
        <v>20004</v>
      </c>
      <c r="B199" s="83">
        <v>20</v>
      </c>
      <c r="C199" s="83" t="s">
        <v>176</v>
      </c>
      <c r="D199" s="83">
        <v>4</v>
      </c>
      <c r="E199" s="84">
        <v>1583</v>
      </c>
    </row>
    <row r="200" spans="1:5" s="85" customFormat="1" ht="12" x14ac:dyDescent="0.2">
      <c r="A200" s="83">
        <f t="shared" si="3"/>
        <v>20005</v>
      </c>
      <c r="B200" s="83">
        <v>20</v>
      </c>
      <c r="C200" s="83" t="s">
        <v>176</v>
      </c>
      <c r="D200" s="83">
        <v>5</v>
      </c>
      <c r="E200" s="84">
        <v>1470</v>
      </c>
    </row>
    <row r="201" spans="1:5" s="85" customFormat="1" ht="12" x14ac:dyDescent="0.2">
      <c r="A201" s="83">
        <f t="shared" si="3"/>
        <v>20006</v>
      </c>
      <c r="B201" s="83">
        <v>20</v>
      </c>
      <c r="C201" s="83" t="s">
        <v>176</v>
      </c>
      <c r="D201" s="83">
        <v>6</v>
      </c>
      <c r="E201" s="84">
        <v>1470</v>
      </c>
    </row>
    <row r="202" spans="1:5" s="85" customFormat="1" ht="12" x14ac:dyDescent="0.2">
      <c r="A202" s="83">
        <f t="shared" si="3"/>
        <v>20007</v>
      </c>
      <c r="B202" s="83">
        <v>20</v>
      </c>
      <c r="C202" s="83" t="s">
        <v>176</v>
      </c>
      <c r="D202" s="83">
        <v>7</v>
      </c>
      <c r="E202" s="84">
        <v>1470</v>
      </c>
    </row>
    <row r="203" spans="1:5" s="85" customFormat="1" ht="12" x14ac:dyDescent="0.2">
      <c r="A203" s="83">
        <f t="shared" si="3"/>
        <v>20008</v>
      </c>
      <c r="B203" s="83">
        <v>20</v>
      </c>
      <c r="C203" s="83" t="s">
        <v>176</v>
      </c>
      <c r="D203" s="83">
        <v>8</v>
      </c>
      <c r="E203" s="84">
        <v>1470</v>
      </c>
    </row>
    <row r="204" spans="1:5" s="85" customFormat="1" ht="12" x14ac:dyDescent="0.2">
      <c r="A204" s="83">
        <f t="shared" si="3"/>
        <v>20009</v>
      </c>
      <c r="B204" s="83">
        <v>20</v>
      </c>
      <c r="C204" s="83" t="s">
        <v>176</v>
      </c>
      <c r="D204" s="83">
        <v>9</v>
      </c>
      <c r="E204" s="84">
        <v>1470</v>
      </c>
    </row>
    <row r="205" spans="1:5" s="85" customFormat="1" ht="12" x14ac:dyDescent="0.2">
      <c r="A205" s="83">
        <f t="shared" si="3"/>
        <v>20010</v>
      </c>
      <c r="B205" s="83">
        <v>20</v>
      </c>
      <c r="C205" s="83" t="s">
        <v>176</v>
      </c>
      <c r="D205" s="83">
        <v>10</v>
      </c>
      <c r="E205" s="84">
        <v>1583</v>
      </c>
    </row>
    <row r="206" spans="1:5" s="85" customFormat="1" ht="12" x14ac:dyDescent="0.2">
      <c r="A206" s="83">
        <f t="shared" si="3"/>
        <v>20011</v>
      </c>
      <c r="B206" s="83">
        <v>20</v>
      </c>
      <c r="C206" s="83" t="s">
        <v>176</v>
      </c>
      <c r="D206" s="83">
        <v>11</v>
      </c>
      <c r="E206" s="84">
        <v>1583</v>
      </c>
    </row>
    <row r="207" spans="1:5" s="85" customFormat="1" ht="12" x14ac:dyDescent="0.2">
      <c r="A207" s="83">
        <f t="shared" si="3"/>
        <v>20012</v>
      </c>
      <c r="B207" s="83">
        <v>20</v>
      </c>
      <c r="C207" s="83" t="s">
        <v>176</v>
      </c>
      <c r="D207" s="83">
        <v>12</v>
      </c>
      <c r="E207" s="84">
        <v>1470</v>
      </c>
    </row>
    <row r="208" spans="1:5" s="85" customFormat="1" ht="12" x14ac:dyDescent="0.2">
      <c r="A208" s="83">
        <f t="shared" si="3"/>
        <v>21001</v>
      </c>
      <c r="B208" s="83">
        <v>21</v>
      </c>
      <c r="C208" s="83" t="s">
        <v>177</v>
      </c>
      <c r="D208" s="83">
        <v>1</v>
      </c>
      <c r="E208" s="84">
        <v>4646</v>
      </c>
    </row>
    <row r="209" spans="1:5" s="85" customFormat="1" ht="12" x14ac:dyDescent="0.2">
      <c r="A209" s="83">
        <f t="shared" si="3"/>
        <v>21002</v>
      </c>
      <c r="B209" s="83">
        <v>21</v>
      </c>
      <c r="C209" s="83" t="s">
        <v>177</v>
      </c>
      <c r="D209" s="83">
        <v>2</v>
      </c>
      <c r="E209" s="84">
        <v>4646</v>
      </c>
    </row>
    <row r="210" spans="1:5" s="85" customFormat="1" ht="12" x14ac:dyDescent="0.2">
      <c r="A210" s="83">
        <f t="shared" si="3"/>
        <v>21003</v>
      </c>
      <c r="B210" s="83">
        <v>21</v>
      </c>
      <c r="C210" s="83" t="s">
        <v>177</v>
      </c>
      <c r="D210" s="83">
        <v>3</v>
      </c>
      <c r="E210" s="84">
        <v>4646</v>
      </c>
    </row>
    <row r="211" spans="1:5" s="85" customFormat="1" ht="12" x14ac:dyDescent="0.2">
      <c r="A211" s="83">
        <f t="shared" si="3"/>
        <v>21004</v>
      </c>
      <c r="B211" s="83">
        <v>21</v>
      </c>
      <c r="C211" s="83" t="s">
        <v>177</v>
      </c>
      <c r="D211" s="83">
        <v>4</v>
      </c>
      <c r="E211" s="84">
        <v>4646</v>
      </c>
    </row>
    <row r="212" spans="1:5" s="85" customFormat="1" ht="12" x14ac:dyDescent="0.2">
      <c r="A212" s="83">
        <f t="shared" si="3"/>
        <v>21005</v>
      </c>
      <c r="B212" s="83">
        <v>21</v>
      </c>
      <c r="C212" s="83" t="s">
        <v>177</v>
      </c>
      <c r="D212" s="83">
        <v>5</v>
      </c>
      <c r="E212" s="84">
        <v>4259</v>
      </c>
    </row>
    <row r="213" spans="1:5" s="85" customFormat="1" ht="12" x14ac:dyDescent="0.2">
      <c r="A213" s="83">
        <f t="shared" si="3"/>
        <v>22002</v>
      </c>
      <c r="B213" s="83">
        <v>22</v>
      </c>
      <c r="C213" s="83" t="s">
        <v>178</v>
      </c>
      <c r="D213" s="83">
        <v>2</v>
      </c>
      <c r="E213" s="84">
        <v>1385</v>
      </c>
    </row>
    <row r="214" spans="1:5" s="85" customFormat="1" ht="12" x14ac:dyDescent="0.2">
      <c r="A214" s="83">
        <f t="shared" si="3"/>
        <v>22003</v>
      </c>
      <c r="B214" s="83">
        <v>22</v>
      </c>
      <c r="C214" s="83" t="s">
        <v>178</v>
      </c>
      <c r="D214" s="83">
        <v>3</v>
      </c>
      <c r="E214" s="84">
        <v>1435</v>
      </c>
    </row>
    <row r="215" spans="1:5" s="85" customFormat="1" ht="12" x14ac:dyDescent="0.2">
      <c r="A215" s="83">
        <f t="shared" si="3"/>
        <v>22004</v>
      </c>
      <c r="B215" s="83">
        <v>22</v>
      </c>
      <c r="C215" s="83" t="s">
        <v>178</v>
      </c>
      <c r="D215" s="83">
        <v>4</v>
      </c>
      <c r="E215" s="84">
        <v>1385</v>
      </c>
    </row>
    <row r="216" spans="1:5" s="85" customFormat="1" ht="12" x14ac:dyDescent="0.2">
      <c r="A216" s="83">
        <f t="shared" si="3"/>
        <v>22005</v>
      </c>
      <c r="B216" s="83">
        <v>22</v>
      </c>
      <c r="C216" s="83" t="s">
        <v>178</v>
      </c>
      <c r="D216" s="83">
        <v>5</v>
      </c>
      <c r="E216" s="84">
        <v>1385</v>
      </c>
    </row>
    <row r="217" spans="1:5" s="85" customFormat="1" ht="12" x14ac:dyDescent="0.2">
      <c r="A217" s="83">
        <f t="shared" si="3"/>
        <v>22006</v>
      </c>
      <c r="B217" s="83">
        <v>22</v>
      </c>
      <c r="C217" s="83" t="s">
        <v>178</v>
      </c>
      <c r="D217" s="83">
        <v>6</v>
      </c>
      <c r="E217" s="84">
        <v>1385</v>
      </c>
    </row>
    <row r="218" spans="1:5" s="85" customFormat="1" ht="12" x14ac:dyDescent="0.2">
      <c r="A218" s="83">
        <f t="shared" si="3"/>
        <v>22007</v>
      </c>
      <c r="B218" s="83">
        <v>22</v>
      </c>
      <c r="C218" s="83" t="s">
        <v>178</v>
      </c>
      <c r="D218" s="83">
        <v>7</v>
      </c>
      <c r="E218" s="84">
        <v>1385</v>
      </c>
    </row>
    <row r="219" spans="1:5" s="85" customFormat="1" ht="12" x14ac:dyDescent="0.2">
      <c r="A219" s="83">
        <f t="shared" si="3"/>
        <v>22008</v>
      </c>
      <c r="B219" s="83">
        <v>22</v>
      </c>
      <c r="C219" s="83" t="s">
        <v>178</v>
      </c>
      <c r="D219" s="83">
        <v>8</v>
      </c>
      <c r="E219" s="84">
        <v>1435</v>
      </c>
    </row>
    <row r="220" spans="1:5" s="85" customFormat="1" ht="12" x14ac:dyDescent="0.2">
      <c r="A220" s="83">
        <f t="shared" si="3"/>
        <v>22009</v>
      </c>
      <c r="B220" s="83">
        <v>22</v>
      </c>
      <c r="C220" s="83" t="s">
        <v>178</v>
      </c>
      <c r="D220" s="83">
        <v>9</v>
      </c>
      <c r="E220" s="84">
        <v>1435</v>
      </c>
    </row>
    <row r="221" spans="1:5" s="85" customFormat="1" ht="12" x14ac:dyDescent="0.2">
      <c r="A221" s="83">
        <f t="shared" si="3"/>
        <v>22010</v>
      </c>
      <c r="B221" s="83">
        <v>22</v>
      </c>
      <c r="C221" s="83" t="s">
        <v>178</v>
      </c>
      <c r="D221" s="83">
        <v>10</v>
      </c>
      <c r="E221" s="84">
        <v>1435</v>
      </c>
    </row>
    <row r="222" spans="1:5" s="85" customFormat="1" ht="12" x14ac:dyDescent="0.2">
      <c r="A222" s="83">
        <f t="shared" si="3"/>
        <v>22011</v>
      </c>
      <c r="B222" s="83">
        <v>22</v>
      </c>
      <c r="C222" s="83" t="s">
        <v>178</v>
      </c>
      <c r="D222" s="83">
        <v>11</v>
      </c>
      <c r="E222" s="84">
        <v>1435</v>
      </c>
    </row>
    <row r="223" spans="1:5" s="85" customFormat="1" ht="12" x14ac:dyDescent="0.2">
      <c r="A223" s="83">
        <f t="shared" si="3"/>
        <v>22012</v>
      </c>
      <c r="B223" s="83">
        <v>22</v>
      </c>
      <c r="C223" s="83" t="s">
        <v>178</v>
      </c>
      <c r="D223" s="83">
        <v>12</v>
      </c>
      <c r="E223" s="84">
        <v>1435</v>
      </c>
    </row>
    <row r="224" spans="1:5" s="85" customFormat="1" ht="12" x14ac:dyDescent="0.2">
      <c r="A224" s="83">
        <f t="shared" si="3"/>
        <v>22013</v>
      </c>
      <c r="B224" s="83">
        <v>22</v>
      </c>
      <c r="C224" s="83" t="s">
        <v>178</v>
      </c>
      <c r="D224" s="83">
        <v>13</v>
      </c>
      <c r="E224" s="84">
        <v>1435</v>
      </c>
    </row>
    <row r="225" spans="1:5" s="85" customFormat="1" ht="12" x14ac:dyDescent="0.2">
      <c r="A225" s="83">
        <f t="shared" si="3"/>
        <v>22014</v>
      </c>
      <c r="B225" s="83">
        <v>22</v>
      </c>
      <c r="C225" s="83" t="s">
        <v>178</v>
      </c>
      <c r="D225" s="83">
        <v>14</v>
      </c>
      <c r="E225" s="84">
        <v>1435</v>
      </c>
    </row>
    <row r="226" spans="1:5" s="85" customFormat="1" ht="12" x14ac:dyDescent="0.2">
      <c r="A226" s="83">
        <f t="shared" si="3"/>
        <v>22015</v>
      </c>
      <c r="B226" s="83">
        <v>22</v>
      </c>
      <c r="C226" s="83" t="s">
        <v>178</v>
      </c>
      <c r="D226" s="83">
        <v>15</v>
      </c>
      <c r="E226" s="84">
        <v>1435</v>
      </c>
    </row>
    <row r="227" spans="1:5" s="85" customFormat="1" ht="12" x14ac:dyDescent="0.2">
      <c r="A227" s="83">
        <f t="shared" si="3"/>
        <v>22016</v>
      </c>
      <c r="B227" s="83">
        <v>22</v>
      </c>
      <c r="C227" s="83" t="s">
        <v>178</v>
      </c>
      <c r="D227" s="83">
        <v>16</v>
      </c>
      <c r="E227" s="84">
        <v>1435</v>
      </c>
    </row>
    <row r="228" spans="1:5" s="85" customFormat="1" ht="12" x14ac:dyDescent="0.2">
      <c r="A228" s="83">
        <f t="shared" si="3"/>
        <v>22017</v>
      </c>
      <c r="B228" s="83">
        <v>22</v>
      </c>
      <c r="C228" s="83" t="s">
        <v>178</v>
      </c>
      <c r="D228" s="83">
        <v>17</v>
      </c>
      <c r="E228" s="84">
        <v>1435</v>
      </c>
    </row>
    <row r="229" spans="1:5" s="85" customFormat="1" ht="12" x14ac:dyDescent="0.2">
      <c r="A229" s="83">
        <f t="shared" si="3"/>
        <v>23001</v>
      </c>
      <c r="B229" s="83">
        <v>23</v>
      </c>
      <c r="C229" s="83" t="s">
        <v>179</v>
      </c>
      <c r="D229" s="83">
        <v>1</v>
      </c>
      <c r="E229" s="84">
        <v>1518</v>
      </c>
    </row>
    <row r="230" spans="1:5" s="85" customFormat="1" ht="12" x14ac:dyDescent="0.2">
      <c r="A230" s="83">
        <f t="shared" si="3"/>
        <v>23002</v>
      </c>
      <c r="B230" s="83">
        <v>23</v>
      </c>
      <c r="C230" s="83" t="s">
        <v>179</v>
      </c>
      <c r="D230" s="83">
        <v>2</v>
      </c>
      <c r="E230" s="84">
        <v>1466</v>
      </c>
    </row>
    <row r="231" spans="1:5" s="85" customFormat="1" ht="12" x14ac:dyDescent="0.2">
      <c r="A231" s="83">
        <f t="shared" si="3"/>
        <v>23003</v>
      </c>
      <c r="B231" s="83">
        <v>23</v>
      </c>
      <c r="C231" s="83" t="s">
        <v>179</v>
      </c>
      <c r="D231" s="83">
        <v>3</v>
      </c>
      <c r="E231" s="84">
        <v>1361</v>
      </c>
    </row>
    <row r="232" spans="1:5" s="85" customFormat="1" ht="12" x14ac:dyDescent="0.2">
      <c r="A232" s="83">
        <f t="shared" si="3"/>
        <v>23004</v>
      </c>
      <c r="B232" s="83">
        <v>23</v>
      </c>
      <c r="C232" s="83" t="s">
        <v>179</v>
      </c>
      <c r="D232" s="83">
        <v>4</v>
      </c>
      <c r="E232" s="84">
        <v>1571</v>
      </c>
    </row>
    <row r="233" spans="1:5" s="85" customFormat="1" ht="12" x14ac:dyDescent="0.2">
      <c r="A233" s="83">
        <f t="shared" si="3"/>
        <v>23005</v>
      </c>
      <c r="B233" s="83">
        <v>23</v>
      </c>
      <c r="C233" s="83" t="s">
        <v>179</v>
      </c>
      <c r="D233" s="83">
        <v>5</v>
      </c>
      <c r="E233" s="84">
        <v>1571</v>
      </c>
    </row>
    <row r="234" spans="1:5" s="85" customFormat="1" ht="12" x14ac:dyDescent="0.2">
      <c r="A234" s="83">
        <f t="shared" si="3"/>
        <v>23006</v>
      </c>
      <c r="B234" s="83">
        <v>23</v>
      </c>
      <c r="C234" s="83" t="s">
        <v>179</v>
      </c>
      <c r="D234" s="83">
        <v>6</v>
      </c>
      <c r="E234" s="84">
        <v>1361</v>
      </c>
    </row>
    <row r="235" spans="1:5" s="85" customFormat="1" ht="12" x14ac:dyDescent="0.2">
      <c r="A235" s="83">
        <f t="shared" si="3"/>
        <v>23007</v>
      </c>
      <c r="B235" s="83">
        <v>23</v>
      </c>
      <c r="C235" s="83" t="s">
        <v>179</v>
      </c>
      <c r="D235" s="83">
        <v>7</v>
      </c>
      <c r="E235" s="84">
        <v>1780</v>
      </c>
    </row>
    <row r="236" spans="1:5" s="85" customFormat="1" ht="12" x14ac:dyDescent="0.2">
      <c r="A236" s="83">
        <f t="shared" si="3"/>
        <v>23008</v>
      </c>
      <c r="B236" s="83">
        <v>23</v>
      </c>
      <c r="C236" s="83" t="s">
        <v>179</v>
      </c>
      <c r="D236" s="83">
        <v>8</v>
      </c>
      <c r="E236" s="84">
        <v>1571</v>
      </c>
    </row>
    <row r="237" spans="1:5" s="85" customFormat="1" ht="12" x14ac:dyDescent="0.2">
      <c r="A237" s="83">
        <f t="shared" si="3"/>
        <v>23009</v>
      </c>
      <c r="B237" s="83">
        <v>23</v>
      </c>
      <c r="C237" s="83" t="s">
        <v>179</v>
      </c>
      <c r="D237" s="83">
        <v>9</v>
      </c>
      <c r="E237" s="84">
        <v>1571</v>
      </c>
    </row>
    <row r="238" spans="1:5" s="85" customFormat="1" ht="12" x14ac:dyDescent="0.2">
      <c r="A238" s="83">
        <f t="shared" si="3"/>
        <v>23010</v>
      </c>
      <c r="B238" s="83">
        <v>23</v>
      </c>
      <c r="C238" s="83" t="s">
        <v>179</v>
      </c>
      <c r="D238" s="83">
        <v>10</v>
      </c>
      <c r="E238" s="84">
        <v>1466</v>
      </c>
    </row>
    <row r="239" spans="1:5" s="85" customFormat="1" ht="12" x14ac:dyDescent="0.2">
      <c r="A239" s="83">
        <f t="shared" si="3"/>
        <v>23011</v>
      </c>
      <c r="B239" s="83">
        <v>23</v>
      </c>
      <c r="C239" s="83" t="s">
        <v>179</v>
      </c>
      <c r="D239" s="83">
        <v>11</v>
      </c>
      <c r="E239" s="84">
        <v>1518</v>
      </c>
    </row>
    <row r="240" spans="1:5" s="85" customFormat="1" ht="12" x14ac:dyDescent="0.2">
      <c r="A240" s="83">
        <f t="shared" si="3"/>
        <v>23012</v>
      </c>
      <c r="B240" s="83">
        <v>23</v>
      </c>
      <c r="C240" s="83" t="s">
        <v>179</v>
      </c>
      <c r="D240" s="83">
        <v>12</v>
      </c>
      <c r="E240" s="84">
        <v>1466</v>
      </c>
    </row>
    <row r="241" spans="1:5" s="85" customFormat="1" ht="12" x14ac:dyDescent="0.2">
      <c r="A241" s="83">
        <f t="shared" si="3"/>
        <v>23013</v>
      </c>
      <c r="B241" s="83">
        <v>23</v>
      </c>
      <c r="C241" s="83" t="s">
        <v>179</v>
      </c>
      <c r="D241" s="83">
        <v>13</v>
      </c>
      <c r="E241" s="84">
        <v>1780</v>
      </c>
    </row>
    <row r="242" spans="1:5" s="85" customFormat="1" ht="12" x14ac:dyDescent="0.2">
      <c r="A242" s="83">
        <f t="shared" si="3"/>
        <v>23014</v>
      </c>
      <c r="B242" s="83">
        <v>23</v>
      </c>
      <c r="C242" s="83" t="s">
        <v>179</v>
      </c>
      <c r="D242" s="83">
        <v>14</v>
      </c>
      <c r="E242" s="84">
        <v>1780</v>
      </c>
    </row>
    <row r="243" spans="1:5" s="85" customFormat="1" ht="12" x14ac:dyDescent="0.2">
      <c r="A243" s="83">
        <f t="shared" si="3"/>
        <v>24001</v>
      </c>
      <c r="B243" s="83">
        <v>24</v>
      </c>
      <c r="C243" s="83" t="s">
        <v>180</v>
      </c>
      <c r="D243" s="83">
        <v>1</v>
      </c>
      <c r="E243" s="84">
        <v>1804</v>
      </c>
    </row>
    <row r="244" spans="1:5" s="85" customFormat="1" ht="12" x14ac:dyDescent="0.2">
      <c r="A244" s="83">
        <f t="shared" si="3"/>
        <v>24002</v>
      </c>
      <c r="B244" s="83">
        <v>24</v>
      </c>
      <c r="C244" s="83" t="s">
        <v>180</v>
      </c>
      <c r="D244" s="83">
        <v>2</v>
      </c>
      <c r="E244" s="84">
        <v>1754</v>
      </c>
    </row>
    <row r="245" spans="1:5" s="85" customFormat="1" ht="12" x14ac:dyDescent="0.2">
      <c r="A245" s="83">
        <f t="shared" si="3"/>
        <v>24003</v>
      </c>
      <c r="B245" s="83">
        <v>24</v>
      </c>
      <c r="C245" s="83" t="s">
        <v>180</v>
      </c>
      <c r="D245" s="83">
        <v>3</v>
      </c>
      <c r="E245" s="84">
        <v>1804</v>
      </c>
    </row>
    <row r="246" spans="1:5" s="85" customFormat="1" ht="12" x14ac:dyDescent="0.2">
      <c r="A246" s="83">
        <f t="shared" si="3"/>
        <v>24004</v>
      </c>
      <c r="B246" s="83">
        <v>24</v>
      </c>
      <c r="C246" s="83" t="s">
        <v>180</v>
      </c>
      <c r="D246" s="83">
        <v>4</v>
      </c>
      <c r="E246" s="84">
        <v>1804</v>
      </c>
    </row>
    <row r="247" spans="1:5" s="85" customFormat="1" ht="12" x14ac:dyDescent="0.2">
      <c r="A247" s="83">
        <f t="shared" si="3"/>
        <v>24005</v>
      </c>
      <c r="B247" s="83">
        <v>24</v>
      </c>
      <c r="C247" s="83" t="s">
        <v>180</v>
      </c>
      <c r="D247" s="83">
        <v>5</v>
      </c>
      <c r="E247" s="84">
        <v>1703</v>
      </c>
    </row>
    <row r="248" spans="1:5" s="85" customFormat="1" ht="12" x14ac:dyDescent="0.2">
      <c r="A248" s="83">
        <f t="shared" si="3"/>
        <v>24006</v>
      </c>
      <c r="B248" s="83">
        <v>24</v>
      </c>
      <c r="C248" s="83" t="s">
        <v>180</v>
      </c>
      <c r="D248" s="83">
        <v>6</v>
      </c>
      <c r="E248" s="84">
        <v>1754</v>
      </c>
    </row>
    <row r="249" spans="1:5" s="85" customFormat="1" ht="12" x14ac:dyDescent="0.2">
      <c r="A249" s="83">
        <f t="shared" si="3"/>
        <v>24007</v>
      </c>
      <c r="B249" s="83">
        <v>24</v>
      </c>
      <c r="C249" s="83" t="s">
        <v>180</v>
      </c>
      <c r="D249" s="83">
        <v>7</v>
      </c>
      <c r="E249" s="84">
        <v>1754</v>
      </c>
    </row>
    <row r="250" spans="1:5" s="85" customFormat="1" ht="12" x14ac:dyDescent="0.2">
      <c r="A250" s="83">
        <f t="shared" si="3"/>
        <v>24008</v>
      </c>
      <c r="B250" s="83">
        <v>24</v>
      </c>
      <c r="C250" s="83" t="s">
        <v>180</v>
      </c>
      <c r="D250" s="83">
        <v>8</v>
      </c>
      <c r="E250" s="84">
        <v>1754</v>
      </c>
    </row>
    <row r="251" spans="1:5" s="85" customFormat="1" ht="12" x14ac:dyDescent="0.2">
      <c r="A251" s="83">
        <f t="shared" si="3"/>
        <v>24009</v>
      </c>
      <c r="B251" s="83">
        <v>24</v>
      </c>
      <c r="C251" s="83" t="s">
        <v>180</v>
      </c>
      <c r="D251" s="83">
        <v>9</v>
      </c>
      <c r="E251" s="84">
        <v>1754</v>
      </c>
    </row>
    <row r="252" spans="1:5" s="85" customFormat="1" ht="12" x14ac:dyDescent="0.2">
      <c r="A252" s="83">
        <f t="shared" si="3"/>
        <v>24010</v>
      </c>
      <c r="B252" s="83">
        <v>24</v>
      </c>
      <c r="C252" s="83" t="s">
        <v>180</v>
      </c>
      <c r="D252" s="83">
        <v>10</v>
      </c>
      <c r="E252" s="84">
        <v>1453</v>
      </c>
    </row>
    <row r="253" spans="1:5" s="85" customFormat="1" ht="12" x14ac:dyDescent="0.2">
      <c r="A253" s="83">
        <f t="shared" si="3"/>
        <v>24011</v>
      </c>
      <c r="B253" s="83">
        <v>24</v>
      </c>
      <c r="C253" s="83" t="s">
        <v>180</v>
      </c>
      <c r="D253" s="83">
        <v>11</v>
      </c>
      <c r="E253" s="84">
        <v>1703</v>
      </c>
    </row>
    <row r="254" spans="1:5" s="85" customFormat="1" ht="12" x14ac:dyDescent="0.2">
      <c r="A254" s="83">
        <f t="shared" si="3"/>
        <v>24012</v>
      </c>
      <c r="B254" s="83">
        <v>24</v>
      </c>
      <c r="C254" s="83" t="s">
        <v>180</v>
      </c>
      <c r="D254" s="83">
        <v>12</v>
      </c>
      <c r="E254" s="84">
        <v>1503</v>
      </c>
    </row>
    <row r="255" spans="1:5" s="85" customFormat="1" ht="12" x14ac:dyDescent="0.2">
      <c r="A255" s="83">
        <f t="shared" si="3"/>
        <v>24013</v>
      </c>
      <c r="B255" s="83">
        <v>24</v>
      </c>
      <c r="C255" s="83" t="s">
        <v>180</v>
      </c>
      <c r="D255" s="83">
        <v>13</v>
      </c>
      <c r="E255" s="84">
        <v>1503</v>
      </c>
    </row>
    <row r="256" spans="1:5" s="85" customFormat="1" ht="12" x14ac:dyDescent="0.2">
      <c r="A256" s="83">
        <f t="shared" si="3"/>
        <v>24014</v>
      </c>
      <c r="B256" s="83">
        <v>24</v>
      </c>
      <c r="C256" s="83" t="s">
        <v>180</v>
      </c>
      <c r="D256" s="83">
        <v>14</v>
      </c>
      <c r="E256" s="84">
        <v>1754</v>
      </c>
    </row>
    <row r="257" spans="1:5" s="85" customFormat="1" ht="12" x14ac:dyDescent="0.2">
      <c r="A257" s="83">
        <f t="shared" si="3"/>
        <v>24015</v>
      </c>
      <c r="B257" s="83">
        <v>24</v>
      </c>
      <c r="C257" s="83" t="s">
        <v>180</v>
      </c>
      <c r="D257" s="83">
        <v>15</v>
      </c>
      <c r="E257" s="84">
        <v>1804</v>
      </c>
    </row>
    <row r="258" spans="1:5" s="85" customFormat="1" ht="12" x14ac:dyDescent="0.2">
      <c r="A258" s="83">
        <f t="shared" si="3"/>
        <v>26002</v>
      </c>
      <c r="B258" s="83">
        <v>26</v>
      </c>
      <c r="C258" s="83" t="s">
        <v>181</v>
      </c>
      <c r="D258" s="83">
        <v>2</v>
      </c>
      <c r="E258" s="84">
        <v>4098</v>
      </c>
    </row>
    <row r="259" spans="1:5" s="85" customFormat="1" ht="12" x14ac:dyDescent="0.2">
      <c r="A259" s="83">
        <f t="shared" ref="A259:A322" si="4">+B259*1000+D259</f>
        <v>26003</v>
      </c>
      <c r="B259" s="83">
        <v>26</v>
      </c>
      <c r="C259" s="83" t="s">
        <v>181</v>
      </c>
      <c r="D259" s="83">
        <v>3</v>
      </c>
      <c r="E259" s="84">
        <v>4098</v>
      </c>
    </row>
    <row r="260" spans="1:5" s="85" customFormat="1" ht="12" x14ac:dyDescent="0.2">
      <c r="A260" s="83">
        <f t="shared" si="4"/>
        <v>26004</v>
      </c>
      <c r="B260" s="83">
        <v>26</v>
      </c>
      <c r="C260" s="83" t="s">
        <v>181</v>
      </c>
      <c r="D260" s="83">
        <v>4</v>
      </c>
      <c r="E260" s="84">
        <v>4098</v>
      </c>
    </row>
    <row r="261" spans="1:5" s="85" customFormat="1" ht="12" x14ac:dyDescent="0.2">
      <c r="A261" s="83">
        <f t="shared" si="4"/>
        <v>26005</v>
      </c>
      <c r="B261" s="83">
        <v>26</v>
      </c>
      <c r="C261" s="83" t="s">
        <v>181</v>
      </c>
      <c r="D261" s="83">
        <v>5</v>
      </c>
      <c r="E261" s="84">
        <v>4098</v>
      </c>
    </row>
    <row r="262" spans="1:5" s="85" customFormat="1" ht="12" x14ac:dyDescent="0.2">
      <c r="A262" s="83">
        <f t="shared" si="4"/>
        <v>26006</v>
      </c>
      <c r="B262" s="83">
        <v>26</v>
      </c>
      <c r="C262" s="83" t="s">
        <v>181</v>
      </c>
      <c r="D262" s="83">
        <v>6</v>
      </c>
      <c r="E262" s="84">
        <v>4098</v>
      </c>
    </row>
    <row r="263" spans="1:5" s="85" customFormat="1" ht="12" x14ac:dyDescent="0.2">
      <c r="A263" s="83">
        <f t="shared" si="4"/>
        <v>26007</v>
      </c>
      <c r="B263" s="83">
        <v>26</v>
      </c>
      <c r="C263" s="83" t="s">
        <v>181</v>
      </c>
      <c r="D263" s="83">
        <v>7</v>
      </c>
      <c r="E263" s="84">
        <v>3725</v>
      </c>
    </row>
    <row r="264" spans="1:5" s="85" customFormat="1" ht="12" x14ac:dyDescent="0.2">
      <c r="A264" s="83">
        <f t="shared" si="4"/>
        <v>26008</v>
      </c>
      <c r="B264" s="83">
        <v>26</v>
      </c>
      <c r="C264" s="83" t="s">
        <v>181</v>
      </c>
      <c r="D264" s="83">
        <v>8</v>
      </c>
      <c r="E264" s="84">
        <v>3601</v>
      </c>
    </row>
    <row r="265" spans="1:5" s="85" customFormat="1" ht="12" x14ac:dyDescent="0.2">
      <c r="A265" s="83">
        <f t="shared" si="4"/>
        <v>26009</v>
      </c>
      <c r="B265" s="83">
        <v>26</v>
      </c>
      <c r="C265" s="83" t="s">
        <v>181</v>
      </c>
      <c r="D265" s="83">
        <v>9</v>
      </c>
      <c r="E265" s="84">
        <v>4098</v>
      </c>
    </row>
    <row r="266" spans="1:5" s="85" customFormat="1" ht="12" x14ac:dyDescent="0.2">
      <c r="A266" s="83">
        <f t="shared" si="4"/>
        <v>26010</v>
      </c>
      <c r="B266" s="83">
        <v>26</v>
      </c>
      <c r="C266" s="83" t="s">
        <v>181</v>
      </c>
      <c r="D266" s="83">
        <v>10</v>
      </c>
      <c r="E266" s="84">
        <v>4098</v>
      </c>
    </row>
    <row r="267" spans="1:5" s="85" customFormat="1" ht="12" x14ac:dyDescent="0.2">
      <c r="A267" s="83">
        <f t="shared" si="4"/>
        <v>26011</v>
      </c>
      <c r="B267" s="83">
        <v>26</v>
      </c>
      <c r="C267" s="83" t="s">
        <v>181</v>
      </c>
      <c r="D267" s="83">
        <v>11</v>
      </c>
      <c r="E267" s="84">
        <v>4098</v>
      </c>
    </row>
    <row r="268" spans="1:5" s="85" customFormat="1" ht="12" x14ac:dyDescent="0.2">
      <c r="A268" s="83">
        <f t="shared" si="4"/>
        <v>27001</v>
      </c>
      <c r="B268" s="83">
        <v>27</v>
      </c>
      <c r="C268" s="83" t="s">
        <v>182</v>
      </c>
      <c r="D268" s="83">
        <v>1</v>
      </c>
      <c r="E268" s="84">
        <v>2057</v>
      </c>
    </row>
    <row r="269" spans="1:5" s="85" customFormat="1" ht="12" x14ac:dyDescent="0.2">
      <c r="A269" s="83">
        <f t="shared" si="4"/>
        <v>27002</v>
      </c>
      <c r="B269" s="83">
        <v>27</v>
      </c>
      <c r="C269" s="83" t="s">
        <v>182</v>
      </c>
      <c r="D269" s="83">
        <v>2</v>
      </c>
      <c r="E269" s="84">
        <v>2057</v>
      </c>
    </row>
    <row r="270" spans="1:5" s="85" customFormat="1" ht="12" x14ac:dyDescent="0.2">
      <c r="A270" s="83">
        <f t="shared" si="4"/>
        <v>27003</v>
      </c>
      <c r="B270" s="83">
        <v>27</v>
      </c>
      <c r="C270" s="83" t="s">
        <v>182</v>
      </c>
      <c r="D270" s="83">
        <v>3</v>
      </c>
      <c r="E270" s="84">
        <v>1989</v>
      </c>
    </row>
    <row r="271" spans="1:5" s="85" customFormat="1" ht="12" x14ac:dyDescent="0.2">
      <c r="A271" s="83">
        <f t="shared" si="4"/>
        <v>27004</v>
      </c>
      <c r="B271" s="83">
        <v>27</v>
      </c>
      <c r="C271" s="83" t="s">
        <v>182</v>
      </c>
      <c r="D271" s="83">
        <v>4</v>
      </c>
      <c r="E271" s="84">
        <v>1989</v>
      </c>
    </row>
    <row r="272" spans="1:5" s="85" customFormat="1" ht="12" x14ac:dyDescent="0.2">
      <c r="A272" s="83">
        <f t="shared" si="4"/>
        <v>27005</v>
      </c>
      <c r="B272" s="83">
        <v>27</v>
      </c>
      <c r="C272" s="83" t="s">
        <v>182</v>
      </c>
      <c r="D272" s="83">
        <v>5</v>
      </c>
      <c r="E272" s="84">
        <v>1989</v>
      </c>
    </row>
    <row r="273" spans="1:5" s="85" customFormat="1" ht="12" x14ac:dyDescent="0.2">
      <c r="A273" s="83">
        <f t="shared" si="4"/>
        <v>27006</v>
      </c>
      <c r="B273" s="83">
        <v>27</v>
      </c>
      <c r="C273" s="83" t="s">
        <v>182</v>
      </c>
      <c r="D273" s="83">
        <v>6</v>
      </c>
      <c r="E273" s="84">
        <v>1920</v>
      </c>
    </row>
    <row r="274" spans="1:5" s="85" customFormat="1" ht="12" x14ac:dyDescent="0.2">
      <c r="A274" s="83">
        <f t="shared" si="4"/>
        <v>27007</v>
      </c>
      <c r="B274" s="83">
        <v>27</v>
      </c>
      <c r="C274" s="83" t="s">
        <v>182</v>
      </c>
      <c r="D274" s="83">
        <v>7</v>
      </c>
      <c r="E274" s="84">
        <v>1783</v>
      </c>
    </row>
    <row r="275" spans="1:5" s="85" customFormat="1" ht="12" x14ac:dyDescent="0.2">
      <c r="A275" s="83">
        <f t="shared" si="4"/>
        <v>27008</v>
      </c>
      <c r="B275" s="83">
        <v>27</v>
      </c>
      <c r="C275" s="83" t="s">
        <v>182</v>
      </c>
      <c r="D275" s="83">
        <v>8</v>
      </c>
      <c r="E275" s="84">
        <v>1783</v>
      </c>
    </row>
    <row r="276" spans="1:5" s="85" customFormat="1" ht="12" x14ac:dyDescent="0.2">
      <c r="A276" s="83">
        <f t="shared" si="4"/>
        <v>27009</v>
      </c>
      <c r="B276" s="83">
        <v>27</v>
      </c>
      <c r="C276" s="83" t="s">
        <v>182</v>
      </c>
      <c r="D276" s="83">
        <v>9</v>
      </c>
      <c r="E276" s="84">
        <v>1989</v>
      </c>
    </row>
    <row r="277" spans="1:5" s="85" customFormat="1" ht="12" x14ac:dyDescent="0.2">
      <c r="A277" s="83">
        <f t="shared" si="4"/>
        <v>27010</v>
      </c>
      <c r="B277" s="83">
        <v>27</v>
      </c>
      <c r="C277" s="83" t="s">
        <v>182</v>
      </c>
      <c r="D277" s="83">
        <v>10</v>
      </c>
      <c r="E277" s="84">
        <v>1989</v>
      </c>
    </row>
    <row r="278" spans="1:5" s="85" customFormat="1" ht="12" x14ac:dyDescent="0.2">
      <c r="A278" s="83">
        <f t="shared" si="4"/>
        <v>27011</v>
      </c>
      <c r="B278" s="83">
        <v>27</v>
      </c>
      <c r="C278" s="83" t="s">
        <v>182</v>
      </c>
      <c r="D278" s="83">
        <v>11</v>
      </c>
      <c r="E278" s="84">
        <v>1989</v>
      </c>
    </row>
    <row r="279" spans="1:5" s="85" customFormat="1" ht="12" x14ac:dyDescent="0.2">
      <c r="A279" s="83">
        <f t="shared" si="4"/>
        <v>28001</v>
      </c>
      <c r="B279" s="83">
        <v>28</v>
      </c>
      <c r="C279" s="83" t="s">
        <v>183</v>
      </c>
      <c r="D279" s="83">
        <v>1</v>
      </c>
      <c r="E279" s="84">
        <v>3899</v>
      </c>
    </row>
    <row r="280" spans="1:5" s="85" customFormat="1" ht="12" x14ac:dyDescent="0.2">
      <c r="A280" s="83">
        <f t="shared" si="4"/>
        <v>28002</v>
      </c>
      <c r="B280" s="83">
        <v>28</v>
      </c>
      <c r="C280" s="83" t="s">
        <v>183</v>
      </c>
      <c r="D280" s="83">
        <v>2</v>
      </c>
      <c r="E280" s="84">
        <v>3899</v>
      </c>
    </row>
    <row r="281" spans="1:5" s="85" customFormat="1" ht="12" x14ac:dyDescent="0.2">
      <c r="A281" s="83">
        <f t="shared" si="4"/>
        <v>28003</v>
      </c>
      <c r="B281" s="83">
        <v>28</v>
      </c>
      <c r="C281" s="83" t="s">
        <v>183</v>
      </c>
      <c r="D281" s="83">
        <v>3</v>
      </c>
      <c r="E281" s="84">
        <v>3899</v>
      </c>
    </row>
    <row r="282" spans="1:5" s="85" customFormat="1" ht="12" x14ac:dyDescent="0.2">
      <c r="A282" s="83">
        <f t="shared" si="4"/>
        <v>28004</v>
      </c>
      <c r="B282" s="83">
        <v>28</v>
      </c>
      <c r="C282" s="83" t="s">
        <v>183</v>
      </c>
      <c r="D282" s="83">
        <v>4</v>
      </c>
      <c r="E282" s="84">
        <v>3899</v>
      </c>
    </row>
    <row r="283" spans="1:5" s="85" customFormat="1" ht="12" x14ac:dyDescent="0.2">
      <c r="A283" s="83">
        <f t="shared" si="4"/>
        <v>28005</v>
      </c>
      <c r="B283" s="83">
        <v>28</v>
      </c>
      <c r="C283" s="83" t="s">
        <v>183</v>
      </c>
      <c r="D283" s="83">
        <v>5</v>
      </c>
      <c r="E283" s="84">
        <v>3440</v>
      </c>
    </row>
    <row r="284" spans="1:5" s="85" customFormat="1" ht="12" x14ac:dyDescent="0.2">
      <c r="A284" s="83">
        <f t="shared" si="4"/>
        <v>28006</v>
      </c>
      <c r="B284" s="83">
        <v>28</v>
      </c>
      <c r="C284" s="83" t="s">
        <v>183</v>
      </c>
      <c r="D284" s="83">
        <v>6</v>
      </c>
      <c r="E284" s="84">
        <v>3440</v>
      </c>
    </row>
    <row r="285" spans="1:5" s="85" customFormat="1" ht="12" x14ac:dyDescent="0.2">
      <c r="A285" s="83">
        <f t="shared" si="4"/>
        <v>28007</v>
      </c>
      <c r="B285" s="83">
        <v>28</v>
      </c>
      <c r="C285" s="83" t="s">
        <v>183</v>
      </c>
      <c r="D285" s="83">
        <v>7</v>
      </c>
      <c r="E285" s="84">
        <v>3440</v>
      </c>
    </row>
    <row r="286" spans="1:5" s="85" customFormat="1" ht="12" x14ac:dyDescent="0.2">
      <c r="A286" s="83">
        <f t="shared" si="4"/>
        <v>28008</v>
      </c>
      <c r="B286" s="83">
        <v>28</v>
      </c>
      <c r="C286" s="83" t="s">
        <v>183</v>
      </c>
      <c r="D286" s="83">
        <v>8</v>
      </c>
      <c r="E286" s="84">
        <v>3899</v>
      </c>
    </row>
    <row r="287" spans="1:5" s="85" customFormat="1" ht="12" x14ac:dyDescent="0.2">
      <c r="A287" s="83">
        <f t="shared" si="4"/>
        <v>28009</v>
      </c>
      <c r="B287" s="83">
        <v>28</v>
      </c>
      <c r="C287" s="83" t="s">
        <v>183</v>
      </c>
      <c r="D287" s="83">
        <v>9</v>
      </c>
      <c r="E287" s="84">
        <v>3899</v>
      </c>
    </row>
    <row r="288" spans="1:5" s="85" customFormat="1" ht="12" x14ac:dyDescent="0.2">
      <c r="A288" s="83">
        <f t="shared" si="4"/>
        <v>28010</v>
      </c>
      <c r="B288" s="83">
        <v>28</v>
      </c>
      <c r="C288" s="83" t="s">
        <v>183</v>
      </c>
      <c r="D288" s="83">
        <v>10</v>
      </c>
      <c r="E288" s="84">
        <v>3440</v>
      </c>
    </row>
    <row r="289" spans="1:5" s="85" customFormat="1" ht="12" x14ac:dyDescent="0.2">
      <c r="A289" s="83">
        <f t="shared" si="4"/>
        <v>28011</v>
      </c>
      <c r="B289" s="83">
        <v>28</v>
      </c>
      <c r="C289" s="83" t="s">
        <v>183</v>
      </c>
      <c r="D289" s="83">
        <v>11</v>
      </c>
      <c r="E289" s="84">
        <v>3784</v>
      </c>
    </row>
    <row r="290" spans="1:5" s="85" customFormat="1" ht="12" x14ac:dyDescent="0.2">
      <c r="A290" s="83">
        <f t="shared" si="4"/>
        <v>28012</v>
      </c>
      <c r="B290" s="83">
        <v>28</v>
      </c>
      <c r="C290" s="83" t="s">
        <v>183</v>
      </c>
      <c r="D290" s="83">
        <v>12</v>
      </c>
      <c r="E290" s="84">
        <v>3440</v>
      </c>
    </row>
    <row r="291" spans="1:5" s="85" customFormat="1" ht="12" x14ac:dyDescent="0.2">
      <c r="A291" s="83">
        <f t="shared" si="4"/>
        <v>28013</v>
      </c>
      <c r="B291" s="83">
        <v>28</v>
      </c>
      <c r="C291" s="83" t="s">
        <v>183</v>
      </c>
      <c r="D291" s="83">
        <v>13</v>
      </c>
      <c r="E291" s="84">
        <v>3899</v>
      </c>
    </row>
    <row r="292" spans="1:5" s="85" customFormat="1" ht="12" x14ac:dyDescent="0.2">
      <c r="A292" s="83">
        <f t="shared" si="4"/>
        <v>28014</v>
      </c>
      <c r="B292" s="83">
        <v>28</v>
      </c>
      <c r="C292" s="83" t="s">
        <v>183</v>
      </c>
      <c r="D292" s="83">
        <v>14</v>
      </c>
      <c r="E292" s="84">
        <v>3899</v>
      </c>
    </row>
    <row r="293" spans="1:5" s="85" customFormat="1" ht="12" x14ac:dyDescent="0.2">
      <c r="A293" s="83">
        <f t="shared" si="4"/>
        <v>28015</v>
      </c>
      <c r="B293" s="83">
        <v>28</v>
      </c>
      <c r="C293" s="83" t="s">
        <v>183</v>
      </c>
      <c r="D293" s="83">
        <v>15</v>
      </c>
      <c r="E293" s="84">
        <v>3899</v>
      </c>
    </row>
    <row r="294" spans="1:5" s="85" customFormat="1" ht="12" x14ac:dyDescent="0.2">
      <c r="A294" s="83">
        <f t="shared" si="4"/>
        <v>28016</v>
      </c>
      <c r="B294" s="83">
        <v>28</v>
      </c>
      <c r="C294" s="83" t="s">
        <v>183</v>
      </c>
      <c r="D294" s="83">
        <v>16</v>
      </c>
      <c r="E294" s="84">
        <v>3899</v>
      </c>
    </row>
    <row r="295" spans="1:5" s="85" customFormat="1" ht="12" x14ac:dyDescent="0.2">
      <c r="A295" s="83">
        <f t="shared" si="4"/>
        <v>28017</v>
      </c>
      <c r="B295" s="83">
        <v>28</v>
      </c>
      <c r="C295" s="83" t="s">
        <v>183</v>
      </c>
      <c r="D295" s="83">
        <v>17</v>
      </c>
      <c r="E295" s="84">
        <v>3899</v>
      </c>
    </row>
    <row r="296" spans="1:5" s="85" customFormat="1" ht="12" x14ac:dyDescent="0.2">
      <c r="A296" s="83">
        <f t="shared" si="4"/>
        <v>28018</v>
      </c>
      <c r="B296" s="83">
        <v>28</v>
      </c>
      <c r="C296" s="83" t="s">
        <v>183</v>
      </c>
      <c r="D296" s="83">
        <v>18</v>
      </c>
      <c r="E296" s="84">
        <v>3899</v>
      </c>
    </row>
    <row r="297" spans="1:5" s="85" customFormat="1" ht="12" x14ac:dyDescent="0.2">
      <c r="A297" s="83">
        <f t="shared" si="4"/>
        <v>29001</v>
      </c>
      <c r="B297" s="83">
        <v>29</v>
      </c>
      <c r="C297" s="83" t="s">
        <v>184</v>
      </c>
      <c r="D297" s="83">
        <v>1</v>
      </c>
      <c r="E297" s="84">
        <v>1507</v>
      </c>
    </row>
    <row r="298" spans="1:5" s="85" customFormat="1" ht="12" x14ac:dyDescent="0.2">
      <c r="A298" s="83">
        <f t="shared" si="4"/>
        <v>29002</v>
      </c>
      <c r="B298" s="83">
        <v>29</v>
      </c>
      <c r="C298" s="83" t="s">
        <v>184</v>
      </c>
      <c r="D298" s="83">
        <v>2</v>
      </c>
      <c r="E298" s="84">
        <v>1507</v>
      </c>
    </row>
    <row r="299" spans="1:5" s="85" customFormat="1" ht="12" x14ac:dyDescent="0.2">
      <c r="A299" s="83">
        <f t="shared" si="4"/>
        <v>29003</v>
      </c>
      <c r="B299" s="83">
        <v>29</v>
      </c>
      <c r="C299" s="83" t="s">
        <v>184</v>
      </c>
      <c r="D299" s="83">
        <v>3</v>
      </c>
      <c r="E299" s="84">
        <v>1351</v>
      </c>
    </row>
    <row r="300" spans="1:5" s="85" customFormat="1" ht="12" x14ac:dyDescent="0.2">
      <c r="A300" s="83">
        <f t="shared" si="4"/>
        <v>29004</v>
      </c>
      <c r="B300" s="83">
        <v>29</v>
      </c>
      <c r="C300" s="83" t="s">
        <v>184</v>
      </c>
      <c r="D300" s="83">
        <v>4</v>
      </c>
      <c r="E300" s="84">
        <v>1351</v>
      </c>
    </row>
    <row r="301" spans="1:5" s="85" customFormat="1" ht="12" x14ac:dyDescent="0.2">
      <c r="A301" s="83">
        <f t="shared" si="4"/>
        <v>29005</v>
      </c>
      <c r="B301" s="83">
        <v>29</v>
      </c>
      <c r="C301" s="83" t="s">
        <v>184</v>
      </c>
      <c r="D301" s="83">
        <v>5</v>
      </c>
      <c r="E301" s="84">
        <v>1351</v>
      </c>
    </row>
    <row r="302" spans="1:5" s="85" customFormat="1" ht="12" x14ac:dyDescent="0.2">
      <c r="A302" s="83">
        <f t="shared" si="4"/>
        <v>29006</v>
      </c>
      <c r="B302" s="83">
        <v>29</v>
      </c>
      <c r="C302" s="83" t="s">
        <v>184</v>
      </c>
      <c r="D302" s="83">
        <v>6</v>
      </c>
      <c r="E302" s="84">
        <v>1351</v>
      </c>
    </row>
    <row r="303" spans="1:5" s="85" customFormat="1" ht="12" x14ac:dyDescent="0.2">
      <c r="A303" s="83">
        <f t="shared" si="4"/>
        <v>29007</v>
      </c>
      <c r="B303" s="83">
        <v>29</v>
      </c>
      <c r="C303" s="83" t="s">
        <v>184</v>
      </c>
      <c r="D303" s="83">
        <v>7</v>
      </c>
      <c r="E303" s="84">
        <v>1351</v>
      </c>
    </row>
    <row r="304" spans="1:5" s="85" customFormat="1" ht="12" x14ac:dyDescent="0.2">
      <c r="A304" s="83">
        <f t="shared" si="4"/>
        <v>29008</v>
      </c>
      <c r="B304" s="83">
        <v>29</v>
      </c>
      <c r="C304" s="83" t="s">
        <v>184</v>
      </c>
      <c r="D304" s="83">
        <v>8</v>
      </c>
      <c r="E304" s="84">
        <v>1351</v>
      </c>
    </row>
    <row r="305" spans="1:5" s="85" customFormat="1" ht="12" x14ac:dyDescent="0.2">
      <c r="A305" s="83">
        <f t="shared" si="4"/>
        <v>29009</v>
      </c>
      <c r="B305" s="83">
        <v>29</v>
      </c>
      <c r="C305" s="83" t="s">
        <v>184</v>
      </c>
      <c r="D305" s="83">
        <v>9</v>
      </c>
      <c r="E305" s="84">
        <v>1351</v>
      </c>
    </row>
    <row r="306" spans="1:5" s="85" customFormat="1" ht="12" x14ac:dyDescent="0.2">
      <c r="A306" s="83">
        <f t="shared" si="4"/>
        <v>29010</v>
      </c>
      <c r="B306" s="83">
        <v>29</v>
      </c>
      <c r="C306" s="83" t="s">
        <v>184</v>
      </c>
      <c r="D306" s="83">
        <v>10</v>
      </c>
      <c r="E306" s="84">
        <v>1351</v>
      </c>
    </row>
    <row r="307" spans="1:5" s="85" customFormat="1" ht="12" x14ac:dyDescent="0.2">
      <c r="A307" s="83">
        <f t="shared" si="4"/>
        <v>30001</v>
      </c>
      <c r="B307" s="83">
        <v>30</v>
      </c>
      <c r="C307" s="83" t="s">
        <v>185</v>
      </c>
      <c r="D307" s="83">
        <v>1</v>
      </c>
      <c r="E307" s="84">
        <v>7231</v>
      </c>
    </row>
    <row r="308" spans="1:5" s="85" customFormat="1" ht="12" x14ac:dyDescent="0.2">
      <c r="A308" s="83">
        <f t="shared" si="4"/>
        <v>30002</v>
      </c>
      <c r="B308" s="83">
        <v>30</v>
      </c>
      <c r="C308" s="83" t="s">
        <v>185</v>
      </c>
      <c r="D308" s="83">
        <v>2</v>
      </c>
      <c r="E308" s="84">
        <v>7231</v>
      </c>
    </row>
    <row r="309" spans="1:5" s="85" customFormat="1" ht="12" x14ac:dyDescent="0.2">
      <c r="A309" s="83">
        <f t="shared" si="4"/>
        <v>30003</v>
      </c>
      <c r="B309" s="83">
        <v>30</v>
      </c>
      <c r="C309" s="83" t="s">
        <v>185</v>
      </c>
      <c r="D309" s="83">
        <v>3</v>
      </c>
      <c r="E309" s="84">
        <v>7231</v>
      </c>
    </row>
    <row r="310" spans="1:5" s="85" customFormat="1" ht="12" x14ac:dyDescent="0.2">
      <c r="A310" s="83">
        <f t="shared" si="4"/>
        <v>30006</v>
      </c>
      <c r="B310" s="83">
        <v>30</v>
      </c>
      <c r="C310" s="83" t="s">
        <v>185</v>
      </c>
      <c r="D310" s="83">
        <v>6</v>
      </c>
      <c r="E310" s="84">
        <v>7231</v>
      </c>
    </row>
    <row r="311" spans="1:5" s="85" customFormat="1" ht="12" x14ac:dyDescent="0.2">
      <c r="A311" s="83">
        <f t="shared" si="4"/>
        <v>30008</v>
      </c>
      <c r="B311" s="83">
        <v>30</v>
      </c>
      <c r="C311" s="83" t="s">
        <v>185</v>
      </c>
      <c r="D311" s="83">
        <v>8</v>
      </c>
      <c r="E311" s="84">
        <v>7231</v>
      </c>
    </row>
    <row r="312" spans="1:5" s="85" customFormat="1" ht="12" x14ac:dyDescent="0.2">
      <c r="A312" s="83">
        <f t="shared" si="4"/>
        <v>31001</v>
      </c>
      <c r="B312" s="83">
        <v>31</v>
      </c>
      <c r="C312" s="83" t="s">
        <v>186</v>
      </c>
      <c r="D312" s="83">
        <v>1</v>
      </c>
      <c r="E312" s="84">
        <v>3777</v>
      </c>
    </row>
    <row r="313" spans="1:5" s="85" customFormat="1" ht="12" x14ac:dyDescent="0.2">
      <c r="A313" s="83">
        <f t="shared" si="4"/>
        <v>31002</v>
      </c>
      <c r="B313" s="83">
        <v>31</v>
      </c>
      <c r="C313" s="83" t="s">
        <v>186</v>
      </c>
      <c r="D313" s="83">
        <v>2</v>
      </c>
      <c r="E313" s="84">
        <v>3777</v>
      </c>
    </row>
    <row r="314" spans="1:5" s="85" customFormat="1" ht="12" x14ac:dyDescent="0.2">
      <c r="A314" s="83">
        <f t="shared" si="4"/>
        <v>31003</v>
      </c>
      <c r="B314" s="83">
        <v>31</v>
      </c>
      <c r="C314" s="83" t="s">
        <v>186</v>
      </c>
      <c r="D314" s="83">
        <v>3</v>
      </c>
      <c r="E314" s="84">
        <v>3777</v>
      </c>
    </row>
    <row r="315" spans="1:5" s="85" customFormat="1" ht="12" x14ac:dyDescent="0.2">
      <c r="A315" s="83">
        <f t="shared" si="4"/>
        <v>31004</v>
      </c>
      <c r="B315" s="83">
        <v>31</v>
      </c>
      <c r="C315" s="83" t="s">
        <v>186</v>
      </c>
      <c r="D315" s="83">
        <v>4</v>
      </c>
      <c r="E315" s="84">
        <v>3777</v>
      </c>
    </row>
    <row r="316" spans="1:5" s="85" customFormat="1" ht="12" x14ac:dyDescent="0.2">
      <c r="A316" s="83">
        <f t="shared" si="4"/>
        <v>31005</v>
      </c>
      <c r="B316" s="83">
        <v>31</v>
      </c>
      <c r="C316" s="83" t="s">
        <v>186</v>
      </c>
      <c r="D316" s="83">
        <v>5</v>
      </c>
      <c r="E316" s="84">
        <v>3777</v>
      </c>
    </row>
    <row r="317" spans="1:5" s="85" customFormat="1" ht="12" x14ac:dyDescent="0.2">
      <c r="A317" s="83">
        <f t="shared" si="4"/>
        <v>31006</v>
      </c>
      <c r="B317" s="83">
        <v>31</v>
      </c>
      <c r="C317" s="83" t="s">
        <v>186</v>
      </c>
      <c r="D317" s="83">
        <v>6</v>
      </c>
      <c r="E317" s="84">
        <v>3777</v>
      </c>
    </row>
    <row r="318" spans="1:5" s="85" customFormat="1" ht="12" x14ac:dyDescent="0.2">
      <c r="A318" s="83">
        <f t="shared" si="4"/>
        <v>31007</v>
      </c>
      <c r="B318" s="83">
        <v>31</v>
      </c>
      <c r="C318" s="83" t="s">
        <v>186</v>
      </c>
      <c r="D318" s="83">
        <v>7</v>
      </c>
      <c r="E318" s="84">
        <v>3777</v>
      </c>
    </row>
    <row r="319" spans="1:5" s="85" customFormat="1" ht="12" x14ac:dyDescent="0.2">
      <c r="A319" s="83">
        <f t="shared" si="4"/>
        <v>32001</v>
      </c>
      <c r="B319" s="83">
        <v>32</v>
      </c>
      <c r="C319" s="83" t="s">
        <v>187</v>
      </c>
      <c r="D319" s="83">
        <v>1</v>
      </c>
      <c r="E319" s="84">
        <v>4464</v>
      </c>
    </row>
    <row r="320" spans="1:5" s="85" customFormat="1" ht="12" x14ac:dyDescent="0.2">
      <c r="A320" s="83">
        <f t="shared" si="4"/>
        <v>32002</v>
      </c>
      <c r="B320" s="83">
        <v>32</v>
      </c>
      <c r="C320" s="83" t="s">
        <v>187</v>
      </c>
      <c r="D320" s="83">
        <v>2</v>
      </c>
      <c r="E320" s="84">
        <v>4464</v>
      </c>
    </row>
    <row r="321" spans="1:5" s="85" customFormat="1" ht="12" x14ac:dyDescent="0.2">
      <c r="A321" s="83">
        <f t="shared" si="4"/>
        <v>32003</v>
      </c>
      <c r="B321" s="83">
        <v>32</v>
      </c>
      <c r="C321" s="83" t="s">
        <v>187</v>
      </c>
      <c r="D321" s="83">
        <v>3</v>
      </c>
      <c r="E321" s="84">
        <v>4464</v>
      </c>
    </row>
    <row r="322" spans="1:5" s="85" customFormat="1" ht="12" x14ac:dyDescent="0.2">
      <c r="A322" s="83">
        <f t="shared" si="4"/>
        <v>32004</v>
      </c>
      <c r="B322" s="83">
        <v>32</v>
      </c>
      <c r="C322" s="83" t="s">
        <v>187</v>
      </c>
      <c r="D322" s="83">
        <v>4</v>
      </c>
      <c r="E322" s="84">
        <v>4464</v>
      </c>
    </row>
    <row r="323" spans="1:5" s="85" customFormat="1" ht="12" x14ac:dyDescent="0.2">
      <c r="A323" s="83">
        <f t="shared" ref="A323:A386" si="5">+B323*1000+D323</f>
        <v>32005</v>
      </c>
      <c r="B323" s="83">
        <v>32</v>
      </c>
      <c r="C323" s="83" t="s">
        <v>187</v>
      </c>
      <c r="D323" s="83">
        <v>5</v>
      </c>
      <c r="E323" s="84">
        <v>4464</v>
      </c>
    </row>
    <row r="324" spans="1:5" s="85" customFormat="1" ht="12" x14ac:dyDescent="0.2">
      <c r="A324" s="83">
        <f t="shared" si="5"/>
        <v>33001</v>
      </c>
      <c r="B324" s="83">
        <v>33</v>
      </c>
      <c r="C324" s="83" t="s">
        <v>188</v>
      </c>
      <c r="D324" s="83">
        <v>1</v>
      </c>
      <c r="E324" s="84">
        <v>3714</v>
      </c>
    </row>
    <row r="325" spans="1:5" s="85" customFormat="1" ht="12" x14ac:dyDescent="0.2">
      <c r="A325" s="83">
        <f t="shared" si="5"/>
        <v>33002</v>
      </c>
      <c r="B325" s="83">
        <v>33</v>
      </c>
      <c r="C325" s="83" t="s">
        <v>188</v>
      </c>
      <c r="D325" s="83">
        <v>2</v>
      </c>
      <c r="E325" s="84">
        <v>3714</v>
      </c>
    </row>
    <row r="326" spans="1:5" s="85" customFormat="1" ht="12" x14ac:dyDescent="0.2">
      <c r="A326" s="83">
        <f t="shared" si="5"/>
        <v>33003</v>
      </c>
      <c r="B326" s="83">
        <v>33</v>
      </c>
      <c r="C326" s="83" t="s">
        <v>188</v>
      </c>
      <c r="D326" s="83">
        <v>3</v>
      </c>
      <c r="E326" s="84">
        <v>3095</v>
      </c>
    </row>
    <row r="327" spans="1:5" s="85" customFormat="1" ht="12" x14ac:dyDescent="0.2">
      <c r="A327" s="83">
        <f t="shared" si="5"/>
        <v>33004</v>
      </c>
      <c r="B327" s="83">
        <v>33</v>
      </c>
      <c r="C327" s="83" t="s">
        <v>188</v>
      </c>
      <c r="D327" s="83">
        <v>4</v>
      </c>
      <c r="E327" s="84">
        <v>2992</v>
      </c>
    </row>
    <row r="328" spans="1:5" s="85" customFormat="1" ht="12" x14ac:dyDescent="0.2">
      <c r="A328" s="83">
        <f t="shared" si="5"/>
        <v>33005</v>
      </c>
      <c r="B328" s="83">
        <v>33</v>
      </c>
      <c r="C328" s="83" t="s">
        <v>188</v>
      </c>
      <c r="D328" s="83">
        <v>5</v>
      </c>
      <c r="E328" s="84">
        <v>2992</v>
      </c>
    </row>
    <row r="329" spans="1:5" s="85" customFormat="1" ht="12" x14ac:dyDescent="0.2">
      <c r="A329" s="83">
        <f t="shared" si="5"/>
        <v>33006</v>
      </c>
      <c r="B329" s="83">
        <v>33</v>
      </c>
      <c r="C329" s="83" t="s">
        <v>188</v>
      </c>
      <c r="D329" s="83">
        <v>6</v>
      </c>
      <c r="E329" s="84">
        <v>2992</v>
      </c>
    </row>
    <row r="330" spans="1:5" s="85" customFormat="1" ht="12" x14ac:dyDescent="0.2">
      <c r="A330" s="83">
        <f t="shared" si="5"/>
        <v>33007</v>
      </c>
      <c r="B330" s="83">
        <v>33</v>
      </c>
      <c r="C330" s="83" t="s">
        <v>188</v>
      </c>
      <c r="D330" s="83">
        <v>7</v>
      </c>
      <c r="E330" s="84">
        <v>3714</v>
      </c>
    </row>
    <row r="331" spans="1:5" s="85" customFormat="1" ht="12" x14ac:dyDescent="0.2">
      <c r="A331" s="83">
        <f t="shared" si="5"/>
        <v>34001</v>
      </c>
      <c r="B331" s="83">
        <v>34</v>
      </c>
      <c r="C331" s="83" t="s">
        <v>189</v>
      </c>
      <c r="D331" s="83">
        <v>1</v>
      </c>
      <c r="E331" s="84">
        <v>1436</v>
      </c>
    </row>
    <row r="332" spans="1:5" s="85" customFormat="1" ht="12" x14ac:dyDescent="0.2">
      <c r="A332" s="83">
        <f t="shared" si="5"/>
        <v>34002</v>
      </c>
      <c r="B332" s="83">
        <v>34</v>
      </c>
      <c r="C332" s="83" t="s">
        <v>189</v>
      </c>
      <c r="D332" s="83">
        <v>2</v>
      </c>
      <c r="E332" s="84">
        <v>1436</v>
      </c>
    </row>
    <row r="333" spans="1:5" s="85" customFormat="1" ht="12" x14ac:dyDescent="0.2">
      <c r="A333" s="83">
        <f t="shared" si="5"/>
        <v>34003</v>
      </c>
      <c r="B333" s="83">
        <v>34</v>
      </c>
      <c r="C333" s="83" t="s">
        <v>189</v>
      </c>
      <c r="D333" s="83">
        <v>3</v>
      </c>
      <c r="E333" s="84">
        <v>1436</v>
      </c>
    </row>
    <row r="334" spans="1:5" s="85" customFormat="1" ht="12" x14ac:dyDescent="0.2">
      <c r="A334" s="83">
        <f t="shared" si="5"/>
        <v>34004</v>
      </c>
      <c r="B334" s="83">
        <v>34</v>
      </c>
      <c r="C334" s="83" t="s">
        <v>189</v>
      </c>
      <c r="D334" s="83">
        <v>4</v>
      </c>
      <c r="E334" s="84">
        <v>1488</v>
      </c>
    </row>
    <row r="335" spans="1:5" s="85" customFormat="1" ht="12" x14ac:dyDescent="0.2">
      <c r="A335" s="83">
        <f t="shared" si="5"/>
        <v>34005</v>
      </c>
      <c r="B335" s="83">
        <v>34</v>
      </c>
      <c r="C335" s="83" t="s">
        <v>189</v>
      </c>
      <c r="D335" s="83">
        <v>5</v>
      </c>
      <c r="E335" s="84">
        <v>1488</v>
      </c>
    </row>
    <row r="336" spans="1:5" s="85" customFormat="1" ht="12" x14ac:dyDescent="0.2">
      <c r="A336" s="83">
        <f t="shared" si="5"/>
        <v>34006</v>
      </c>
      <c r="B336" s="83">
        <v>34</v>
      </c>
      <c r="C336" s="83" t="s">
        <v>189</v>
      </c>
      <c r="D336" s="83">
        <v>6</v>
      </c>
      <c r="E336" s="84">
        <v>1488</v>
      </c>
    </row>
    <row r="337" spans="1:5" s="85" customFormat="1" ht="12" x14ac:dyDescent="0.2">
      <c r="A337" s="83">
        <f t="shared" si="5"/>
        <v>34007</v>
      </c>
      <c r="B337" s="83">
        <v>34</v>
      </c>
      <c r="C337" s="83" t="s">
        <v>189</v>
      </c>
      <c r="D337" s="83">
        <v>7</v>
      </c>
      <c r="E337" s="84">
        <v>1436</v>
      </c>
    </row>
    <row r="338" spans="1:5" s="85" customFormat="1" ht="12" x14ac:dyDescent="0.2">
      <c r="A338" s="83">
        <f t="shared" si="5"/>
        <v>35001</v>
      </c>
      <c r="B338" s="83">
        <v>35</v>
      </c>
      <c r="C338" s="83" t="s">
        <v>190</v>
      </c>
      <c r="D338" s="83">
        <v>1</v>
      </c>
      <c r="E338" s="84">
        <v>3545</v>
      </c>
    </row>
    <row r="339" spans="1:5" s="85" customFormat="1" ht="12" x14ac:dyDescent="0.2">
      <c r="A339" s="83">
        <f t="shared" si="5"/>
        <v>35002</v>
      </c>
      <c r="B339" s="83">
        <v>35</v>
      </c>
      <c r="C339" s="83" t="s">
        <v>190</v>
      </c>
      <c r="D339" s="83">
        <v>2</v>
      </c>
      <c r="E339" s="84">
        <v>2954</v>
      </c>
    </row>
    <row r="340" spans="1:5" s="85" customFormat="1" ht="12" x14ac:dyDescent="0.2">
      <c r="A340" s="83">
        <f t="shared" si="5"/>
        <v>35003</v>
      </c>
      <c r="B340" s="83">
        <v>35</v>
      </c>
      <c r="C340" s="83" t="s">
        <v>190</v>
      </c>
      <c r="D340" s="83">
        <v>3</v>
      </c>
      <c r="E340" s="84">
        <v>3545</v>
      </c>
    </row>
    <row r="341" spans="1:5" s="85" customFormat="1" ht="12" x14ac:dyDescent="0.2">
      <c r="A341" s="83">
        <f t="shared" si="5"/>
        <v>35004</v>
      </c>
      <c r="B341" s="83">
        <v>35</v>
      </c>
      <c r="C341" s="83" t="s">
        <v>190</v>
      </c>
      <c r="D341" s="83">
        <v>4</v>
      </c>
      <c r="E341" s="84">
        <v>3545</v>
      </c>
    </row>
    <row r="342" spans="1:5" s="85" customFormat="1" ht="12" x14ac:dyDescent="0.2">
      <c r="A342" s="83">
        <f t="shared" si="5"/>
        <v>35005</v>
      </c>
      <c r="B342" s="83">
        <v>35</v>
      </c>
      <c r="C342" s="83" t="s">
        <v>190</v>
      </c>
      <c r="D342" s="83">
        <v>5</v>
      </c>
      <c r="E342" s="84">
        <v>3545</v>
      </c>
    </row>
    <row r="343" spans="1:5" s="85" customFormat="1" ht="12" x14ac:dyDescent="0.2">
      <c r="A343" s="83">
        <f t="shared" si="5"/>
        <v>35006</v>
      </c>
      <c r="B343" s="83">
        <v>35</v>
      </c>
      <c r="C343" s="83" t="s">
        <v>190</v>
      </c>
      <c r="D343" s="83">
        <v>6</v>
      </c>
      <c r="E343" s="84">
        <v>3447</v>
      </c>
    </row>
    <row r="344" spans="1:5" s="85" customFormat="1" ht="12" x14ac:dyDescent="0.2">
      <c r="A344" s="83">
        <f t="shared" si="5"/>
        <v>35007</v>
      </c>
      <c r="B344" s="83">
        <v>35</v>
      </c>
      <c r="C344" s="83" t="s">
        <v>190</v>
      </c>
      <c r="D344" s="83">
        <v>7</v>
      </c>
      <c r="E344" s="84">
        <v>3447</v>
      </c>
    </row>
    <row r="345" spans="1:5" s="85" customFormat="1" ht="12" x14ac:dyDescent="0.2">
      <c r="A345" s="83">
        <f t="shared" si="5"/>
        <v>35008</v>
      </c>
      <c r="B345" s="83">
        <v>35</v>
      </c>
      <c r="C345" s="83" t="s">
        <v>190</v>
      </c>
      <c r="D345" s="83">
        <v>8</v>
      </c>
      <c r="E345" s="84">
        <v>3348</v>
      </c>
    </row>
    <row r="346" spans="1:5" s="85" customFormat="1" ht="12" x14ac:dyDescent="0.2">
      <c r="A346" s="83">
        <f t="shared" si="5"/>
        <v>36001</v>
      </c>
      <c r="B346" s="83">
        <v>36</v>
      </c>
      <c r="C346" s="83" t="s">
        <v>191</v>
      </c>
      <c r="D346" s="83">
        <v>1</v>
      </c>
      <c r="E346" s="84">
        <v>1903</v>
      </c>
    </row>
    <row r="347" spans="1:5" s="85" customFormat="1" ht="12" x14ac:dyDescent="0.2">
      <c r="A347" s="83">
        <f t="shared" si="5"/>
        <v>36002</v>
      </c>
      <c r="B347" s="83">
        <v>36</v>
      </c>
      <c r="C347" s="83" t="s">
        <v>191</v>
      </c>
      <c r="D347" s="83">
        <v>2</v>
      </c>
      <c r="E347" s="84">
        <v>1903</v>
      </c>
    </row>
    <row r="348" spans="1:5" s="85" customFormat="1" ht="12" x14ac:dyDescent="0.2">
      <c r="A348" s="83">
        <f t="shared" si="5"/>
        <v>36003</v>
      </c>
      <c r="B348" s="83">
        <v>36</v>
      </c>
      <c r="C348" s="83" t="s">
        <v>191</v>
      </c>
      <c r="D348" s="83">
        <v>3</v>
      </c>
      <c r="E348" s="84">
        <v>1631</v>
      </c>
    </row>
    <row r="349" spans="1:5" s="85" customFormat="1" ht="12" x14ac:dyDescent="0.2">
      <c r="A349" s="83">
        <f t="shared" si="5"/>
        <v>36004</v>
      </c>
      <c r="B349" s="83">
        <v>36</v>
      </c>
      <c r="C349" s="83" t="s">
        <v>191</v>
      </c>
      <c r="D349" s="83">
        <v>4</v>
      </c>
      <c r="E349" s="84">
        <v>1631</v>
      </c>
    </row>
    <row r="350" spans="1:5" s="85" customFormat="1" ht="12" x14ac:dyDescent="0.2">
      <c r="A350" s="83">
        <f t="shared" si="5"/>
        <v>36005</v>
      </c>
      <c r="B350" s="83">
        <v>36</v>
      </c>
      <c r="C350" s="83" t="s">
        <v>191</v>
      </c>
      <c r="D350" s="83">
        <v>5</v>
      </c>
      <c r="E350" s="84">
        <v>1971</v>
      </c>
    </row>
    <row r="351" spans="1:5" s="85" customFormat="1" ht="12" x14ac:dyDescent="0.2">
      <c r="A351" s="83">
        <f t="shared" si="5"/>
        <v>36006</v>
      </c>
      <c r="B351" s="83">
        <v>36</v>
      </c>
      <c r="C351" s="83" t="s">
        <v>191</v>
      </c>
      <c r="D351" s="83">
        <v>6</v>
      </c>
      <c r="E351" s="84">
        <v>1903</v>
      </c>
    </row>
    <row r="352" spans="1:5" s="85" customFormat="1" ht="12" x14ac:dyDescent="0.2">
      <c r="A352" s="83">
        <f t="shared" si="5"/>
        <v>36007</v>
      </c>
      <c r="B352" s="83">
        <v>36</v>
      </c>
      <c r="C352" s="83" t="s">
        <v>191</v>
      </c>
      <c r="D352" s="83">
        <v>7</v>
      </c>
      <c r="E352" s="84">
        <v>1631</v>
      </c>
    </row>
    <row r="353" spans="1:5" s="85" customFormat="1" ht="12" x14ac:dyDescent="0.2">
      <c r="A353" s="83">
        <f t="shared" si="5"/>
        <v>37001</v>
      </c>
      <c r="B353" s="83">
        <v>37</v>
      </c>
      <c r="C353" s="83" t="s">
        <v>192</v>
      </c>
      <c r="D353" s="83">
        <v>1</v>
      </c>
      <c r="E353" s="84">
        <v>1339</v>
      </c>
    </row>
    <row r="354" spans="1:5" s="85" customFormat="1" ht="12" x14ac:dyDescent="0.2">
      <c r="A354" s="83">
        <f t="shared" si="5"/>
        <v>37002</v>
      </c>
      <c r="B354" s="83">
        <v>37</v>
      </c>
      <c r="C354" s="83" t="s">
        <v>192</v>
      </c>
      <c r="D354" s="83">
        <v>2</v>
      </c>
      <c r="E354" s="84">
        <v>1339</v>
      </c>
    </row>
    <row r="355" spans="1:5" s="85" customFormat="1" ht="12" x14ac:dyDescent="0.2">
      <c r="A355" s="83">
        <f t="shared" si="5"/>
        <v>37003</v>
      </c>
      <c r="B355" s="83">
        <v>37</v>
      </c>
      <c r="C355" s="83" t="s">
        <v>192</v>
      </c>
      <c r="D355" s="83">
        <v>3</v>
      </c>
      <c r="E355" s="84">
        <v>1339</v>
      </c>
    </row>
    <row r="356" spans="1:5" s="85" customFormat="1" ht="12" x14ac:dyDescent="0.2">
      <c r="A356" s="83">
        <f t="shared" si="5"/>
        <v>37004</v>
      </c>
      <c r="B356" s="83">
        <v>37</v>
      </c>
      <c r="C356" s="83" t="s">
        <v>192</v>
      </c>
      <c r="D356" s="83">
        <v>4</v>
      </c>
      <c r="E356" s="84">
        <v>1339</v>
      </c>
    </row>
    <row r="357" spans="1:5" s="85" customFormat="1" ht="12" x14ac:dyDescent="0.2">
      <c r="A357" s="83">
        <f t="shared" si="5"/>
        <v>37005</v>
      </c>
      <c r="B357" s="83">
        <v>37</v>
      </c>
      <c r="C357" s="83" t="s">
        <v>192</v>
      </c>
      <c r="D357" s="83">
        <v>5</v>
      </c>
      <c r="E357" s="84">
        <v>1339</v>
      </c>
    </row>
    <row r="358" spans="1:5" s="85" customFormat="1" ht="12" x14ac:dyDescent="0.2">
      <c r="A358" s="83">
        <f t="shared" si="5"/>
        <v>37006</v>
      </c>
      <c r="B358" s="83">
        <v>37</v>
      </c>
      <c r="C358" s="83" t="s">
        <v>192</v>
      </c>
      <c r="D358" s="83">
        <v>6</v>
      </c>
      <c r="E358" s="84">
        <v>1339</v>
      </c>
    </row>
    <row r="359" spans="1:5" s="85" customFormat="1" ht="12" x14ac:dyDescent="0.2">
      <c r="A359" s="83">
        <f t="shared" si="5"/>
        <v>37007</v>
      </c>
      <c r="B359" s="83">
        <v>37</v>
      </c>
      <c r="C359" s="83" t="s">
        <v>192</v>
      </c>
      <c r="D359" s="83">
        <v>7</v>
      </c>
      <c r="E359" s="84">
        <v>1339</v>
      </c>
    </row>
    <row r="360" spans="1:5" s="85" customFormat="1" ht="12" x14ac:dyDescent="0.2">
      <c r="A360" s="83">
        <f t="shared" si="5"/>
        <v>37008</v>
      </c>
      <c r="B360" s="83">
        <v>37</v>
      </c>
      <c r="C360" s="83" t="s">
        <v>192</v>
      </c>
      <c r="D360" s="83">
        <v>8</v>
      </c>
      <c r="E360" s="84">
        <v>1339</v>
      </c>
    </row>
    <row r="361" spans="1:5" s="85" customFormat="1" ht="12" x14ac:dyDescent="0.2">
      <c r="A361" s="83">
        <f t="shared" si="5"/>
        <v>37009</v>
      </c>
      <c r="B361" s="83">
        <v>37</v>
      </c>
      <c r="C361" s="83" t="s">
        <v>192</v>
      </c>
      <c r="D361" s="83">
        <v>9</v>
      </c>
      <c r="E361" s="84">
        <v>1339</v>
      </c>
    </row>
    <row r="362" spans="1:5" s="85" customFormat="1" ht="12" x14ac:dyDescent="0.2">
      <c r="A362" s="83">
        <f t="shared" si="5"/>
        <v>37010</v>
      </c>
      <c r="B362" s="83">
        <v>37</v>
      </c>
      <c r="C362" s="83" t="s">
        <v>192</v>
      </c>
      <c r="D362" s="83">
        <v>10</v>
      </c>
      <c r="E362" s="84">
        <v>1339</v>
      </c>
    </row>
    <row r="363" spans="1:5" s="85" customFormat="1" ht="12" x14ac:dyDescent="0.2">
      <c r="A363" s="83">
        <f t="shared" si="5"/>
        <v>37011</v>
      </c>
      <c r="B363" s="83">
        <v>37</v>
      </c>
      <c r="C363" s="83" t="s">
        <v>192</v>
      </c>
      <c r="D363" s="83">
        <v>11</v>
      </c>
      <c r="E363" s="84">
        <v>1339</v>
      </c>
    </row>
    <row r="364" spans="1:5" s="85" customFormat="1" ht="12" x14ac:dyDescent="0.2">
      <c r="A364" s="83">
        <f t="shared" si="5"/>
        <v>38001</v>
      </c>
      <c r="B364" s="83">
        <v>38</v>
      </c>
      <c r="C364" s="83" t="s">
        <v>193</v>
      </c>
      <c r="D364" s="83">
        <v>1</v>
      </c>
      <c r="E364" s="84">
        <v>3545</v>
      </c>
    </row>
    <row r="365" spans="1:5" s="85" customFormat="1" ht="12" x14ac:dyDescent="0.2">
      <c r="A365" s="83">
        <f t="shared" si="5"/>
        <v>38002</v>
      </c>
      <c r="B365" s="83">
        <v>38</v>
      </c>
      <c r="C365" s="83" t="s">
        <v>193</v>
      </c>
      <c r="D365" s="83">
        <v>2</v>
      </c>
      <c r="E365" s="84">
        <v>3545</v>
      </c>
    </row>
    <row r="366" spans="1:5" s="85" customFormat="1" ht="12" x14ac:dyDescent="0.2">
      <c r="A366" s="83">
        <f t="shared" si="5"/>
        <v>38003</v>
      </c>
      <c r="B366" s="83">
        <v>38</v>
      </c>
      <c r="C366" s="83" t="s">
        <v>193</v>
      </c>
      <c r="D366" s="83">
        <v>3</v>
      </c>
      <c r="E366" s="84">
        <v>3545</v>
      </c>
    </row>
    <row r="367" spans="1:5" s="85" customFormat="1" ht="12" x14ac:dyDescent="0.2">
      <c r="A367" s="83">
        <f t="shared" si="5"/>
        <v>38004</v>
      </c>
      <c r="B367" s="83">
        <v>38</v>
      </c>
      <c r="C367" s="83" t="s">
        <v>193</v>
      </c>
      <c r="D367" s="83">
        <v>4</v>
      </c>
      <c r="E367" s="84">
        <v>3545</v>
      </c>
    </row>
    <row r="368" spans="1:5" s="85" customFormat="1" ht="12" x14ac:dyDescent="0.2">
      <c r="A368" s="83">
        <f t="shared" si="5"/>
        <v>38005</v>
      </c>
      <c r="B368" s="83">
        <v>38</v>
      </c>
      <c r="C368" s="83" t="s">
        <v>193</v>
      </c>
      <c r="D368" s="83">
        <v>5</v>
      </c>
      <c r="E368" s="84">
        <v>3545</v>
      </c>
    </row>
    <row r="369" spans="1:5" s="85" customFormat="1" ht="12" x14ac:dyDescent="0.2">
      <c r="A369" s="83">
        <f t="shared" si="5"/>
        <v>38006</v>
      </c>
      <c r="B369" s="83">
        <v>38</v>
      </c>
      <c r="C369" s="83" t="s">
        <v>193</v>
      </c>
      <c r="D369" s="83">
        <v>6</v>
      </c>
      <c r="E369" s="84">
        <v>3545</v>
      </c>
    </row>
    <row r="370" spans="1:5" s="85" customFormat="1" ht="12" x14ac:dyDescent="0.2">
      <c r="A370" s="83">
        <f t="shared" si="5"/>
        <v>38007</v>
      </c>
      <c r="B370" s="83">
        <v>38</v>
      </c>
      <c r="C370" s="83" t="s">
        <v>193</v>
      </c>
      <c r="D370" s="83">
        <v>7</v>
      </c>
      <c r="E370" s="84">
        <v>3545</v>
      </c>
    </row>
    <row r="371" spans="1:5" s="85" customFormat="1" ht="12" x14ac:dyDescent="0.2">
      <c r="A371" s="83">
        <f t="shared" si="5"/>
        <v>38008</v>
      </c>
      <c r="B371" s="83">
        <v>38</v>
      </c>
      <c r="C371" s="83" t="s">
        <v>193</v>
      </c>
      <c r="D371" s="83">
        <v>8</v>
      </c>
      <c r="E371" s="84">
        <v>3545</v>
      </c>
    </row>
    <row r="372" spans="1:5" s="85" customFormat="1" ht="12" x14ac:dyDescent="0.2">
      <c r="A372" s="83">
        <f t="shared" si="5"/>
        <v>38009</v>
      </c>
      <c r="B372" s="83">
        <v>38</v>
      </c>
      <c r="C372" s="83" t="s">
        <v>193</v>
      </c>
      <c r="D372" s="83">
        <v>9</v>
      </c>
      <c r="E372" s="84">
        <v>3545</v>
      </c>
    </row>
    <row r="373" spans="1:5" s="85" customFormat="1" ht="12" x14ac:dyDescent="0.2">
      <c r="A373" s="83">
        <f t="shared" si="5"/>
        <v>38010</v>
      </c>
      <c r="B373" s="83">
        <v>38</v>
      </c>
      <c r="C373" s="83" t="s">
        <v>193</v>
      </c>
      <c r="D373" s="83">
        <v>10</v>
      </c>
      <c r="E373" s="84">
        <v>3545</v>
      </c>
    </row>
    <row r="374" spans="1:5" s="85" customFormat="1" ht="12" x14ac:dyDescent="0.2">
      <c r="A374" s="83">
        <f t="shared" si="5"/>
        <v>38011</v>
      </c>
      <c r="B374" s="83">
        <v>38</v>
      </c>
      <c r="C374" s="83" t="s">
        <v>193</v>
      </c>
      <c r="D374" s="83">
        <v>11</v>
      </c>
      <c r="E374" s="84">
        <v>3545</v>
      </c>
    </row>
    <row r="375" spans="1:5" s="85" customFormat="1" ht="12" x14ac:dyDescent="0.2">
      <c r="A375" s="83">
        <f t="shared" si="5"/>
        <v>39001</v>
      </c>
      <c r="B375" s="83">
        <v>39</v>
      </c>
      <c r="C375" s="83" t="s">
        <v>194</v>
      </c>
      <c r="D375" s="83">
        <v>1</v>
      </c>
      <c r="E375" s="84">
        <v>1574</v>
      </c>
    </row>
    <row r="376" spans="1:5" s="85" customFormat="1" ht="12" x14ac:dyDescent="0.2">
      <c r="A376" s="83">
        <f t="shared" si="5"/>
        <v>39002</v>
      </c>
      <c r="B376" s="83">
        <v>39</v>
      </c>
      <c r="C376" s="83" t="s">
        <v>194</v>
      </c>
      <c r="D376" s="83">
        <v>2</v>
      </c>
      <c r="E376" s="84">
        <v>1574</v>
      </c>
    </row>
    <row r="377" spans="1:5" s="85" customFormat="1" ht="12" x14ac:dyDescent="0.2">
      <c r="A377" s="83">
        <f t="shared" si="5"/>
        <v>39003</v>
      </c>
      <c r="B377" s="83">
        <v>39</v>
      </c>
      <c r="C377" s="83" t="s">
        <v>194</v>
      </c>
      <c r="D377" s="83">
        <v>3</v>
      </c>
      <c r="E377" s="84">
        <v>1453</v>
      </c>
    </row>
    <row r="378" spans="1:5" s="85" customFormat="1" ht="12" x14ac:dyDescent="0.2">
      <c r="A378" s="83">
        <f t="shared" si="5"/>
        <v>39004</v>
      </c>
      <c r="B378" s="83">
        <v>39</v>
      </c>
      <c r="C378" s="83" t="s">
        <v>194</v>
      </c>
      <c r="D378" s="83">
        <v>4</v>
      </c>
      <c r="E378" s="84">
        <v>1453</v>
      </c>
    </row>
    <row r="379" spans="1:5" s="85" customFormat="1" ht="12" x14ac:dyDescent="0.2">
      <c r="A379" s="83">
        <f t="shared" si="5"/>
        <v>39005</v>
      </c>
      <c r="B379" s="83">
        <v>39</v>
      </c>
      <c r="C379" s="83" t="s">
        <v>194</v>
      </c>
      <c r="D379" s="83">
        <v>5</v>
      </c>
      <c r="E379" s="84">
        <v>1453</v>
      </c>
    </row>
    <row r="380" spans="1:5" s="85" customFormat="1" ht="12" x14ac:dyDescent="0.2">
      <c r="A380" s="83">
        <f t="shared" si="5"/>
        <v>39006</v>
      </c>
      <c r="B380" s="83">
        <v>39</v>
      </c>
      <c r="C380" s="83" t="s">
        <v>194</v>
      </c>
      <c r="D380" s="83">
        <v>6</v>
      </c>
      <c r="E380" s="84">
        <v>1695</v>
      </c>
    </row>
    <row r="381" spans="1:5" s="85" customFormat="1" ht="12" x14ac:dyDescent="0.2">
      <c r="A381" s="83">
        <f t="shared" si="5"/>
        <v>39007</v>
      </c>
      <c r="B381" s="83">
        <v>39</v>
      </c>
      <c r="C381" s="83" t="s">
        <v>194</v>
      </c>
      <c r="D381" s="83">
        <v>7</v>
      </c>
      <c r="E381" s="84">
        <v>1574</v>
      </c>
    </row>
    <row r="382" spans="1:5" s="85" customFormat="1" ht="12" x14ac:dyDescent="0.2">
      <c r="A382" s="83">
        <f t="shared" si="5"/>
        <v>40001</v>
      </c>
      <c r="B382" s="83">
        <v>40</v>
      </c>
      <c r="C382" s="83" t="s">
        <v>195</v>
      </c>
      <c r="D382" s="83">
        <v>1</v>
      </c>
      <c r="E382" s="84">
        <v>1569</v>
      </c>
    </row>
    <row r="383" spans="1:5" s="85" customFormat="1" ht="12" x14ac:dyDescent="0.2">
      <c r="A383" s="83">
        <f t="shared" si="5"/>
        <v>40002</v>
      </c>
      <c r="B383" s="83">
        <v>40</v>
      </c>
      <c r="C383" s="83" t="s">
        <v>195</v>
      </c>
      <c r="D383" s="83">
        <v>2</v>
      </c>
      <c r="E383" s="84">
        <v>1517</v>
      </c>
    </row>
    <row r="384" spans="1:5" s="85" customFormat="1" ht="12" x14ac:dyDescent="0.2">
      <c r="A384" s="83">
        <f t="shared" si="5"/>
        <v>40003</v>
      </c>
      <c r="B384" s="83">
        <v>40</v>
      </c>
      <c r="C384" s="83" t="s">
        <v>195</v>
      </c>
      <c r="D384" s="83">
        <v>3</v>
      </c>
      <c r="E384" s="84">
        <v>1517</v>
      </c>
    </row>
    <row r="385" spans="1:5" s="85" customFormat="1" ht="12" x14ac:dyDescent="0.2">
      <c r="A385" s="83">
        <f t="shared" si="5"/>
        <v>40004</v>
      </c>
      <c r="B385" s="83">
        <v>40</v>
      </c>
      <c r="C385" s="83" t="s">
        <v>195</v>
      </c>
      <c r="D385" s="83">
        <v>4</v>
      </c>
      <c r="E385" s="84">
        <v>1517</v>
      </c>
    </row>
    <row r="386" spans="1:5" s="85" customFormat="1" ht="12" x14ac:dyDescent="0.2">
      <c r="A386" s="83">
        <f t="shared" si="5"/>
        <v>40005</v>
      </c>
      <c r="B386" s="83">
        <v>40</v>
      </c>
      <c r="C386" s="83" t="s">
        <v>195</v>
      </c>
      <c r="D386" s="83">
        <v>5</v>
      </c>
      <c r="E386" s="84">
        <v>1517</v>
      </c>
    </row>
    <row r="387" spans="1:5" s="85" customFormat="1" ht="12" x14ac:dyDescent="0.2">
      <c r="A387" s="83">
        <f t="shared" ref="A387:A450" si="6">+B387*1000+D387</f>
        <v>40006</v>
      </c>
      <c r="B387" s="83">
        <v>40</v>
      </c>
      <c r="C387" s="83" t="s">
        <v>195</v>
      </c>
      <c r="D387" s="83">
        <v>6</v>
      </c>
      <c r="E387" s="84">
        <v>1779</v>
      </c>
    </row>
    <row r="388" spans="1:5" s="85" customFormat="1" ht="12" x14ac:dyDescent="0.2">
      <c r="A388" s="83">
        <f t="shared" si="6"/>
        <v>40007</v>
      </c>
      <c r="B388" s="83">
        <v>40</v>
      </c>
      <c r="C388" s="83" t="s">
        <v>195</v>
      </c>
      <c r="D388" s="83">
        <v>7</v>
      </c>
      <c r="E388" s="84">
        <v>1779</v>
      </c>
    </row>
    <row r="389" spans="1:5" s="85" customFormat="1" ht="12" x14ac:dyDescent="0.2">
      <c r="A389" s="83">
        <f t="shared" si="6"/>
        <v>40008</v>
      </c>
      <c r="B389" s="83">
        <v>40</v>
      </c>
      <c r="C389" s="83" t="s">
        <v>195</v>
      </c>
      <c r="D389" s="83">
        <v>8</v>
      </c>
      <c r="E389" s="84">
        <v>1779</v>
      </c>
    </row>
    <row r="390" spans="1:5" s="85" customFormat="1" ht="12" x14ac:dyDescent="0.2">
      <c r="A390" s="83">
        <f t="shared" si="6"/>
        <v>40009</v>
      </c>
      <c r="B390" s="83">
        <v>40</v>
      </c>
      <c r="C390" s="83" t="s">
        <v>195</v>
      </c>
      <c r="D390" s="83">
        <v>9</v>
      </c>
      <c r="E390" s="84">
        <v>1569</v>
      </c>
    </row>
    <row r="391" spans="1:5" s="85" customFormat="1" ht="12" x14ac:dyDescent="0.2">
      <c r="A391" s="83">
        <f t="shared" si="6"/>
        <v>40010</v>
      </c>
      <c r="B391" s="83">
        <v>40</v>
      </c>
      <c r="C391" s="83" t="s">
        <v>195</v>
      </c>
      <c r="D391" s="83">
        <v>10</v>
      </c>
      <c r="E391" s="84">
        <v>1726</v>
      </c>
    </row>
    <row r="392" spans="1:5" s="85" customFormat="1" ht="12" x14ac:dyDescent="0.2">
      <c r="A392" s="83">
        <f t="shared" si="6"/>
        <v>40011</v>
      </c>
      <c r="B392" s="83">
        <v>40</v>
      </c>
      <c r="C392" s="83" t="s">
        <v>195</v>
      </c>
      <c r="D392" s="83">
        <v>11</v>
      </c>
      <c r="E392" s="84">
        <v>1517</v>
      </c>
    </row>
    <row r="393" spans="1:5" s="85" customFormat="1" ht="12" x14ac:dyDescent="0.2">
      <c r="A393" s="83">
        <f t="shared" si="6"/>
        <v>40012</v>
      </c>
      <c r="B393" s="83">
        <v>40</v>
      </c>
      <c r="C393" s="83" t="s">
        <v>195</v>
      </c>
      <c r="D393" s="83">
        <v>12</v>
      </c>
      <c r="E393" s="84">
        <v>1517</v>
      </c>
    </row>
    <row r="394" spans="1:5" s="85" customFormat="1" ht="12" x14ac:dyDescent="0.2">
      <c r="A394" s="83">
        <f t="shared" si="6"/>
        <v>40013</v>
      </c>
      <c r="B394" s="83">
        <v>40</v>
      </c>
      <c r="C394" s="83" t="s">
        <v>195</v>
      </c>
      <c r="D394" s="83">
        <v>13</v>
      </c>
      <c r="E394" s="84">
        <v>1569</v>
      </c>
    </row>
    <row r="395" spans="1:5" s="85" customFormat="1" ht="12" x14ac:dyDescent="0.2">
      <c r="A395" s="83">
        <f t="shared" si="6"/>
        <v>41002</v>
      </c>
      <c r="B395" s="83">
        <v>41</v>
      </c>
      <c r="C395" s="83" t="s">
        <v>196</v>
      </c>
      <c r="D395" s="83">
        <v>2</v>
      </c>
      <c r="E395" s="84">
        <v>2435</v>
      </c>
    </row>
    <row r="396" spans="1:5" s="85" customFormat="1" ht="12" x14ac:dyDescent="0.2">
      <c r="A396" s="83">
        <f t="shared" si="6"/>
        <v>41003</v>
      </c>
      <c r="B396" s="83">
        <v>41</v>
      </c>
      <c r="C396" s="83" t="s">
        <v>196</v>
      </c>
      <c r="D396" s="83">
        <v>3</v>
      </c>
      <c r="E396" s="84">
        <v>2435</v>
      </c>
    </row>
    <row r="397" spans="1:5" s="85" customFormat="1" ht="12" x14ac:dyDescent="0.2">
      <c r="A397" s="83">
        <f t="shared" si="6"/>
        <v>41004</v>
      </c>
      <c r="B397" s="83">
        <v>41</v>
      </c>
      <c r="C397" s="83" t="s">
        <v>196</v>
      </c>
      <c r="D397" s="83">
        <v>4</v>
      </c>
      <c r="E397" s="84">
        <v>2435</v>
      </c>
    </row>
    <row r="398" spans="1:5" s="85" customFormat="1" ht="12" x14ac:dyDescent="0.2">
      <c r="A398" s="83">
        <f t="shared" si="6"/>
        <v>41005</v>
      </c>
      <c r="B398" s="83">
        <v>41</v>
      </c>
      <c r="C398" s="83" t="s">
        <v>196</v>
      </c>
      <c r="D398" s="83">
        <v>5</v>
      </c>
      <c r="E398" s="84">
        <v>2435</v>
      </c>
    </row>
    <row r="399" spans="1:5" s="85" customFormat="1" ht="12" x14ac:dyDescent="0.2">
      <c r="A399" s="83">
        <f t="shared" si="6"/>
        <v>41006</v>
      </c>
      <c r="B399" s="83">
        <v>41</v>
      </c>
      <c r="C399" s="83" t="s">
        <v>196</v>
      </c>
      <c r="D399" s="83">
        <v>6</v>
      </c>
      <c r="E399" s="84">
        <v>2435</v>
      </c>
    </row>
    <row r="400" spans="1:5" s="85" customFormat="1" ht="12" x14ac:dyDescent="0.2">
      <c r="A400" s="83">
        <f t="shared" si="6"/>
        <v>41007</v>
      </c>
      <c r="B400" s="83">
        <v>41</v>
      </c>
      <c r="C400" s="83" t="s">
        <v>196</v>
      </c>
      <c r="D400" s="83">
        <v>7</v>
      </c>
      <c r="E400" s="84">
        <v>2435</v>
      </c>
    </row>
    <row r="401" spans="1:5" s="85" customFormat="1" ht="12" x14ac:dyDescent="0.2">
      <c r="A401" s="83">
        <f t="shared" si="6"/>
        <v>42001</v>
      </c>
      <c r="B401" s="83">
        <v>42</v>
      </c>
      <c r="C401" s="83" t="s">
        <v>197</v>
      </c>
      <c r="D401" s="83">
        <v>1</v>
      </c>
      <c r="E401" s="84">
        <v>1453</v>
      </c>
    </row>
    <row r="402" spans="1:5" s="85" customFormat="1" ht="12" x14ac:dyDescent="0.2">
      <c r="A402" s="83">
        <f t="shared" si="6"/>
        <v>42002</v>
      </c>
      <c r="B402" s="83">
        <v>42</v>
      </c>
      <c r="C402" s="83" t="s">
        <v>197</v>
      </c>
      <c r="D402" s="83">
        <v>2</v>
      </c>
      <c r="E402" s="84">
        <v>1453</v>
      </c>
    </row>
    <row r="403" spans="1:5" s="85" customFormat="1" ht="12" x14ac:dyDescent="0.2">
      <c r="A403" s="83">
        <f t="shared" si="6"/>
        <v>42003</v>
      </c>
      <c r="B403" s="83">
        <v>42</v>
      </c>
      <c r="C403" s="83" t="s">
        <v>197</v>
      </c>
      <c r="D403" s="83">
        <v>3</v>
      </c>
      <c r="E403" s="84">
        <v>1453</v>
      </c>
    </row>
    <row r="404" spans="1:5" s="85" customFormat="1" ht="12" x14ac:dyDescent="0.2">
      <c r="A404" s="83">
        <f t="shared" si="6"/>
        <v>42004</v>
      </c>
      <c r="B404" s="83">
        <v>42</v>
      </c>
      <c r="C404" s="83" t="s">
        <v>197</v>
      </c>
      <c r="D404" s="83">
        <v>4</v>
      </c>
      <c r="E404" s="84">
        <v>1453</v>
      </c>
    </row>
    <row r="405" spans="1:5" s="85" customFormat="1" ht="12" x14ac:dyDescent="0.2">
      <c r="A405" s="83">
        <f t="shared" si="6"/>
        <v>42005</v>
      </c>
      <c r="B405" s="83">
        <v>42</v>
      </c>
      <c r="C405" s="83" t="s">
        <v>197</v>
      </c>
      <c r="D405" s="83">
        <v>5</v>
      </c>
      <c r="E405" s="84">
        <v>1453</v>
      </c>
    </row>
    <row r="406" spans="1:5" s="85" customFormat="1" ht="12" x14ac:dyDescent="0.2">
      <c r="A406" s="83">
        <f t="shared" si="6"/>
        <v>42006</v>
      </c>
      <c r="B406" s="83">
        <v>42</v>
      </c>
      <c r="C406" s="83" t="s">
        <v>197</v>
      </c>
      <c r="D406" s="83">
        <v>6</v>
      </c>
      <c r="E406" s="84">
        <v>1453</v>
      </c>
    </row>
    <row r="407" spans="1:5" s="85" customFormat="1" ht="12" x14ac:dyDescent="0.2">
      <c r="A407" s="83">
        <f t="shared" si="6"/>
        <v>42007</v>
      </c>
      <c r="B407" s="83">
        <v>42</v>
      </c>
      <c r="C407" s="83" t="s">
        <v>197</v>
      </c>
      <c r="D407" s="83">
        <v>7</v>
      </c>
      <c r="E407" s="84">
        <v>1453</v>
      </c>
    </row>
    <row r="408" spans="1:5" s="85" customFormat="1" ht="12" x14ac:dyDescent="0.2">
      <c r="A408" s="83">
        <f t="shared" si="6"/>
        <v>42008</v>
      </c>
      <c r="B408" s="83">
        <v>42</v>
      </c>
      <c r="C408" s="83" t="s">
        <v>197</v>
      </c>
      <c r="D408" s="83">
        <v>8</v>
      </c>
      <c r="E408" s="84">
        <v>1453</v>
      </c>
    </row>
    <row r="409" spans="1:5" s="85" customFormat="1" ht="12" x14ac:dyDescent="0.2">
      <c r="A409" s="83">
        <f t="shared" si="6"/>
        <v>42009</v>
      </c>
      <c r="B409" s="83">
        <v>42</v>
      </c>
      <c r="C409" s="83" t="s">
        <v>197</v>
      </c>
      <c r="D409" s="83">
        <v>9</v>
      </c>
      <c r="E409" s="84">
        <v>1453</v>
      </c>
    </row>
    <row r="410" spans="1:5" s="85" customFormat="1" ht="12" x14ac:dyDescent="0.2">
      <c r="A410" s="83">
        <f t="shared" si="6"/>
        <v>42010</v>
      </c>
      <c r="B410" s="83">
        <v>42</v>
      </c>
      <c r="C410" s="83" t="s">
        <v>197</v>
      </c>
      <c r="D410" s="83">
        <v>10</v>
      </c>
      <c r="E410" s="84">
        <v>1574</v>
      </c>
    </row>
    <row r="411" spans="1:5" s="85" customFormat="1" ht="12" x14ac:dyDescent="0.2">
      <c r="A411" s="83">
        <f t="shared" si="6"/>
        <v>43001</v>
      </c>
      <c r="B411" s="83">
        <v>43</v>
      </c>
      <c r="C411" s="83" t="s">
        <v>198</v>
      </c>
      <c r="D411" s="83">
        <v>1</v>
      </c>
      <c r="E411" s="84">
        <v>1609</v>
      </c>
    </row>
    <row r="412" spans="1:5" s="85" customFormat="1" ht="12" x14ac:dyDescent="0.2">
      <c r="A412" s="83">
        <f t="shared" si="6"/>
        <v>43002</v>
      </c>
      <c r="B412" s="83">
        <v>43</v>
      </c>
      <c r="C412" s="83" t="s">
        <v>198</v>
      </c>
      <c r="D412" s="83">
        <v>2</v>
      </c>
      <c r="E412" s="84">
        <v>1609</v>
      </c>
    </row>
    <row r="413" spans="1:5" s="85" customFormat="1" ht="12" x14ac:dyDescent="0.2">
      <c r="A413" s="83">
        <f t="shared" si="6"/>
        <v>43003</v>
      </c>
      <c r="B413" s="83">
        <v>43</v>
      </c>
      <c r="C413" s="83" t="s">
        <v>198</v>
      </c>
      <c r="D413" s="83">
        <v>3</v>
      </c>
      <c r="E413" s="84">
        <v>1930</v>
      </c>
    </row>
    <row r="414" spans="1:5" s="85" customFormat="1" ht="12" x14ac:dyDescent="0.2">
      <c r="A414" s="83">
        <f t="shared" si="6"/>
        <v>43004</v>
      </c>
      <c r="B414" s="83">
        <v>43</v>
      </c>
      <c r="C414" s="83" t="s">
        <v>198</v>
      </c>
      <c r="D414" s="83">
        <v>4</v>
      </c>
      <c r="E414" s="84">
        <v>1930</v>
      </c>
    </row>
    <row r="415" spans="1:5" s="85" customFormat="1" ht="12" x14ac:dyDescent="0.2">
      <c r="A415" s="83">
        <f t="shared" si="6"/>
        <v>43005</v>
      </c>
      <c r="B415" s="83">
        <v>43</v>
      </c>
      <c r="C415" s="83" t="s">
        <v>198</v>
      </c>
      <c r="D415" s="83">
        <v>5</v>
      </c>
      <c r="E415" s="84">
        <v>1930</v>
      </c>
    </row>
    <row r="416" spans="1:5" s="85" customFormat="1" ht="12" x14ac:dyDescent="0.2">
      <c r="A416" s="83">
        <f t="shared" si="6"/>
        <v>43006</v>
      </c>
      <c r="B416" s="83">
        <v>43</v>
      </c>
      <c r="C416" s="83" t="s">
        <v>198</v>
      </c>
      <c r="D416" s="83">
        <v>6</v>
      </c>
      <c r="E416" s="84">
        <v>1823</v>
      </c>
    </row>
    <row r="417" spans="1:5" s="85" customFormat="1" ht="12" x14ac:dyDescent="0.2">
      <c r="A417" s="83">
        <f t="shared" si="6"/>
        <v>43007</v>
      </c>
      <c r="B417" s="83">
        <v>43</v>
      </c>
      <c r="C417" s="83" t="s">
        <v>198</v>
      </c>
      <c r="D417" s="83">
        <v>7</v>
      </c>
      <c r="E417" s="84">
        <v>1823</v>
      </c>
    </row>
    <row r="418" spans="1:5" s="85" customFormat="1" ht="12" x14ac:dyDescent="0.2">
      <c r="A418" s="83">
        <f t="shared" si="6"/>
        <v>43008</v>
      </c>
      <c r="B418" s="83">
        <v>43</v>
      </c>
      <c r="C418" s="83" t="s">
        <v>198</v>
      </c>
      <c r="D418" s="83">
        <v>8</v>
      </c>
      <c r="E418" s="84">
        <v>1930</v>
      </c>
    </row>
    <row r="419" spans="1:5" s="85" customFormat="1" ht="12" x14ac:dyDescent="0.2">
      <c r="A419" s="83">
        <f t="shared" si="6"/>
        <v>44002</v>
      </c>
      <c r="B419" s="83">
        <v>44</v>
      </c>
      <c r="C419" s="83" t="s">
        <v>199</v>
      </c>
      <c r="D419" s="83">
        <v>2</v>
      </c>
      <c r="E419" s="84">
        <v>2421</v>
      </c>
    </row>
    <row r="420" spans="1:5" s="85" customFormat="1" ht="12" x14ac:dyDescent="0.2">
      <c r="A420" s="83">
        <f t="shared" si="6"/>
        <v>44003</v>
      </c>
      <c r="B420" s="83">
        <v>44</v>
      </c>
      <c r="C420" s="83" t="s">
        <v>199</v>
      </c>
      <c r="D420" s="83">
        <v>3</v>
      </c>
      <c r="E420" s="84">
        <v>2201</v>
      </c>
    </row>
    <row r="421" spans="1:5" s="85" customFormat="1" ht="12" x14ac:dyDescent="0.2">
      <c r="A421" s="83">
        <f t="shared" si="6"/>
        <v>44004</v>
      </c>
      <c r="B421" s="83">
        <v>44</v>
      </c>
      <c r="C421" s="83" t="s">
        <v>199</v>
      </c>
      <c r="D421" s="83">
        <v>4</v>
      </c>
      <c r="E421" s="84">
        <v>2494</v>
      </c>
    </row>
    <row r="422" spans="1:5" s="85" customFormat="1" ht="12" x14ac:dyDescent="0.2">
      <c r="A422" s="83">
        <f t="shared" si="6"/>
        <v>44005</v>
      </c>
      <c r="B422" s="83">
        <v>44</v>
      </c>
      <c r="C422" s="83" t="s">
        <v>199</v>
      </c>
      <c r="D422" s="83">
        <v>5</v>
      </c>
      <c r="E422" s="84">
        <v>2127</v>
      </c>
    </row>
    <row r="423" spans="1:5" s="85" customFormat="1" ht="12" x14ac:dyDescent="0.2">
      <c r="A423" s="83">
        <f t="shared" si="6"/>
        <v>44006</v>
      </c>
      <c r="B423" s="83">
        <v>44</v>
      </c>
      <c r="C423" s="83" t="s">
        <v>199</v>
      </c>
      <c r="D423" s="83">
        <v>6</v>
      </c>
      <c r="E423" s="84">
        <v>2127</v>
      </c>
    </row>
    <row r="424" spans="1:5" s="85" customFormat="1" ht="12" x14ac:dyDescent="0.2">
      <c r="A424" s="83">
        <f t="shared" si="6"/>
        <v>44007</v>
      </c>
      <c r="B424" s="83">
        <v>44</v>
      </c>
      <c r="C424" s="83" t="s">
        <v>199</v>
      </c>
      <c r="D424" s="83">
        <v>7</v>
      </c>
      <c r="E424" s="84">
        <v>2494</v>
      </c>
    </row>
    <row r="425" spans="1:5" s="85" customFormat="1" ht="12" x14ac:dyDescent="0.2">
      <c r="A425" s="83">
        <f t="shared" si="6"/>
        <v>44008</v>
      </c>
      <c r="B425" s="83">
        <v>44</v>
      </c>
      <c r="C425" s="83" t="s">
        <v>199</v>
      </c>
      <c r="D425" s="83">
        <v>8</v>
      </c>
      <c r="E425" s="84">
        <v>2127</v>
      </c>
    </row>
    <row r="426" spans="1:5" s="85" customFormat="1" ht="12" x14ac:dyDescent="0.2">
      <c r="A426" s="83">
        <f t="shared" si="6"/>
        <v>44009</v>
      </c>
      <c r="B426" s="83">
        <v>44</v>
      </c>
      <c r="C426" s="83" t="s">
        <v>199</v>
      </c>
      <c r="D426" s="83">
        <v>9</v>
      </c>
      <c r="E426" s="84">
        <v>2201</v>
      </c>
    </row>
    <row r="427" spans="1:5" s="85" customFormat="1" ht="12" x14ac:dyDescent="0.2">
      <c r="A427" s="83">
        <f t="shared" si="6"/>
        <v>44010</v>
      </c>
      <c r="B427" s="83">
        <v>44</v>
      </c>
      <c r="C427" s="83" t="s">
        <v>199</v>
      </c>
      <c r="D427" s="83">
        <v>10</v>
      </c>
      <c r="E427" s="84">
        <v>2127</v>
      </c>
    </row>
    <row r="428" spans="1:5" s="85" customFormat="1" ht="12" x14ac:dyDescent="0.2">
      <c r="A428" s="83">
        <f t="shared" si="6"/>
        <v>44011</v>
      </c>
      <c r="B428" s="83">
        <v>44</v>
      </c>
      <c r="C428" s="83" t="s">
        <v>199</v>
      </c>
      <c r="D428" s="83">
        <v>11</v>
      </c>
      <c r="E428" s="84">
        <v>1907</v>
      </c>
    </row>
    <row r="429" spans="1:5" s="85" customFormat="1" ht="12" x14ac:dyDescent="0.2">
      <c r="A429" s="83">
        <f t="shared" si="6"/>
        <v>44012</v>
      </c>
      <c r="B429" s="83">
        <v>44</v>
      </c>
      <c r="C429" s="83" t="s">
        <v>199</v>
      </c>
      <c r="D429" s="83">
        <v>12</v>
      </c>
      <c r="E429" s="84">
        <v>2201</v>
      </c>
    </row>
    <row r="430" spans="1:5" s="85" customFormat="1" ht="12" x14ac:dyDescent="0.2">
      <c r="A430" s="83">
        <f t="shared" si="6"/>
        <v>45001</v>
      </c>
      <c r="B430" s="83">
        <v>45</v>
      </c>
      <c r="C430" s="83" t="s">
        <v>200</v>
      </c>
      <c r="D430" s="83">
        <v>1</v>
      </c>
      <c r="E430" s="84">
        <v>3824</v>
      </c>
    </row>
    <row r="431" spans="1:5" s="85" customFormat="1" ht="12" x14ac:dyDescent="0.2">
      <c r="A431" s="83">
        <f t="shared" si="6"/>
        <v>45002</v>
      </c>
      <c r="B431" s="83">
        <v>45</v>
      </c>
      <c r="C431" s="83" t="s">
        <v>200</v>
      </c>
      <c r="D431" s="83">
        <v>2</v>
      </c>
      <c r="E431" s="84">
        <v>3278</v>
      </c>
    </row>
    <row r="432" spans="1:5" s="85" customFormat="1" ht="12" x14ac:dyDescent="0.2">
      <c r="A432" s="83">
        <f t="shared" si="6"/>
        <v>45003</v>
      </c>
      <c r="B432" s="83">
        <v>45</v>
      </c>
      <c r="C432" s="83" t="s">
        <v>200</v>
      </c>
      <c r="D432" s="83">
        <v>3</v>
      </c>
      <c r="E432" s="84">
        <v>3059</v>
      </c>
    </row>
    <row r="433" spans="1:5" s="85" customFormat="1" ht="12" x14ac:dyDescent="0.2">
      <c r="A433" s="83">
        <f t="shared" si="6"/>
        <v>45004</v>
      </c>
      <c r="B433" s="83">
        <v>45</v>
      </c>
      <c r="C433" s="83" t="s">
        <v>200</v>
      </c>
      <c r="D433" s="83">
        <v>4</v>
      </c>
      <c r="E433" s="84">
        <v>3824</v>
      </c>
    </row>
    <row r="434" spans="1:5" s="85" customFormat="1" ht="12" x14ac:dyDescent="0.2">
      <c r="A434" s="83">
        <f t="shared" si="6"/>
        <v>45005</v>
      </c>
      <c r="B434" s="83">
        <v>45</v>
      </c>
      <c r="C434" s="83" t="s">
        <v>200</v>
      </c>
      <c r="D434" s="83">
        <v>5</v>
      </c>
      <c r="E434" s="84">
        <v>3169</v>
      </c>
    </row>
    <row r="435" spans="1:5" s="85" customFormat="1" ht="12" x14ac:dyDescent="0.2">
      <c r="A435" s="83">
        <f t="shared" si="6"/>
        <v>45006</v>
      </c>
      <c r="B435" s="83">
        <v>45</v>
      </c>
      <c r="C435" s="83" t="s">
        <v>200</v>
      </c>
      <c r="D435" s="83">
        <v>6</v>
      </c>
      <c r="E435" s="84">
        <v>3824</v>
      </c>
    </row>
    <row r="436" spans="1:5" s="85" customFormat="1" ht="12" x14ac:dyDescent="0.2">
      <c r="A436" s="83">
        <f t="shared" si="6"/>
        <v>46001</v>
      </c>
      <c r="B436" s="83">
        <v>46</v>
      </c>
      <c r="C436" s="83" t="s">
        <v>201</v>
      </c>
      <c r="D436" s="83">
        <v>1</v>
      </c>
      <c r="E436" s="84">
        <v>3816</v>
      </c>
    </row>
    <row r="437" spans="1:5" s="85" customFormat="1" ht="12" x14ac:dyDescent="0.2">
      <c r="A437" s="83">
        <f t="shared" si="6"/>
        <v>46002</v>
      </c>
      <c r="B437" s="83">
        <v>46</v>
      </c>
      <c r="C437" s="83" t="s">
        <v>201</v>
      </c>
      <c r="D437" s="83">
        <v>2</v>
      </c>
      <c r="E437" s="84">
        <v>3816</v>
      </c>
    </row>
    <row r="438" spans="1:5" s="85" customFormat="1" ht="12" x14ac:dyDescent="0.2">
      <c r="A438" s="83">
        <f t="shared" si="6"/>
        <v>46003</v>
      </c>
      <c r="B438" s="83">
        <v>46</v>
      </c>
      <c r="C438" s="83" t="s">
        <v>201</v>
      </c>
      <c r="D438" s="83">
        <v>3</v>
      </c>
      <c r="E438" s="84">
        <v>3816</v>
      </c>
    </row>
    <row r="439" spans="1:5" s="85" customFormat="1" ht="12" x14ac:dyDescent="0.2">
      <c r="A439" s="83">
        <f t="shared" si="6"/>
        <v>46004</v>
      </c>
      <c r="B439" s="83">
        <v>46</v>
      </c>
      <c r="C439" s="83" t="s">
        <v>201</v>
      </c>
      <c r="D439" s="83">
        <v>4</v>
      </c>
      <c r="E439" s="84">
        <v>3816</v>
      </c>
    </row>
    <row r="440" spans="1:5" s="85" customFormat="1" ht="12" x14ac:dyDescent="0.2">
      <c r="A440" s="83">
        <f t="shared" si="6"/>
        <v>46005</v>
      </c>
      <c r="B440" s="83">
        <v>46</v>
      </c>
      <c r="C440" s="83" t="s">
        <v>201</v>
      </c>
      <c r="D440" s="83">
        <v>5</v>
      </c>
      <c r="E440" s="84">
        <v>3816</v>
      </c>
    </row>
    <row r="441" spans="1:5" s="85" customFormat="1" ht="12" x14ac:dyDescent="0.2">
      <c r="A441" s="83">
        <f t="shared" si="6"/>
        <v>46006</v>
      </c>
      <c r="B441" s="83">
        <v>46</v>
      </c>
      <c r="C441" s="83" t="s">
        <v>201</v>
      </c>
      <c r="D441" s="83">
        <v>6</v>
      </c>
      <c r="E441" s="84">
        <v>3816</v>
      </c>
    </row>
    <row r="442" spans="1:5" s="85" customFormat="1" ht="12" x14ac:dyDescent="0.2">
      <c r="A442" s="83">
        <f t="shared" si="6"/>
        <v>49001</v>
      </c>
      <c r="B442" s="83">
        <v>49</v>
      </c>
      <c r="C442" s="83" t="s">
        <v>202</v>
      </c>
      <c r="D442" s="83">
        <v>1</v>
      </c>
      <c r="E442" s="84">
        <v>2633</v>
      </c>
    </row>
    <row r="443" spans="1:5" s="85" customFormat="1" ht="12" x14ac:dyDescent="0.2">
      <c r="A443" s="83">
        <f t="shared" si="6"/>
        <v>49002</v>
      </c>
      <c r="B443" s="83">
        <v>49</v>
      </c>
      <c r="C443" s="83" t="s">
        <v>202</v>
      </c>
      <c r="D443" s="83">
        <v>2</v>
      </c>
      <c r="E443" s="84">
        <v>2633</v>
      </c>
    </row>
    <row r="444" spans="1:5" s="85" customFormat="1" ht="12" x14ac:dyDescent="0.2">
      <c r="A444" s="83">
        <f t="shared" si="6"/>
        <v>49003</v>
      </c>
      <c r="B444" s="83">
        <v>49</v>
      </c>
      <c r="C444" s="83" t="s">
        <v>202</v>
      </c>
      <c r="D444" s="83">
        <v>3</v>
      </c>
      <c r="E444" s="84">
        <v>2633</v>
      </c>
    </row>
    <row r="445" spans="1:5" s="85" customFormat="1" ht="12" x14ac:dyDescent="0.2">
      <c r="A445" s="83">
        <f t="shared" si="6"/>
        <v>49004</v>
      </c>
      <c r="B445" s="83">
        <v>49</v>
      </c>
      <c r="C445" s="83" t="s">
        <v>202</v>
      </c>
      <c r="D445" s="83">
        <v>4</v>
      </c>
      <c r="E445" s="84">
        <v>2069</v>
      </c>
    </row>
    <row r="446" spans="1:5" s="85" customFormat="1" ht="12" x14ac:dyDescent="0.2">
      <c r="A446" s="83">
        <f t="shared" si="6"/>
        <v>49005</v>
      </c>
      <c r="B446" s="83">
        <v>49</v>
      </c>
      <c r="C446" s="83" t="s">
        <v>202</v>
      </c>
      <c r="D446" s="83">
        <v>5</v>
      </c>
      <c r="E446" s="84">
        <v>2633</v>
      </c>
    </row>
    <row r="447" spans="1:5" s="85" customFormat="1" ht="12" x14ac:dyDescent="0.2">
      <c r="A447" s="83">
        <f t="shared" si="6"/>
        <v>49006</v>
      </c>
      <c r="B447" s="83">
        <v>49</v>
      </c>
      <c r="C447" s="83" t="s">
        <v>202</v>
      </c>
      <c r="D447" s="83">
        <v>6</v>
      </c>
      <c r="E447" s="84">
        <v>2633</v>
      </c>
    </row>
    <row r="448" spans="1:5" s="85" customFormat="1" ht="12" x14ac:dyDescent="0.2">
      <c r="A448" s="83">
        <f t="shared" si="6"/>
        <v>49007</v>
      </c>
      <c r="B448" s="83">
        <v>49</v>
      </c>
      <c r="C448" s="83" t="s">
        <v>202</v>
      </c>
      <c r="D448" s="83">
        <v>7</v>
      </c>
      <c r="E448" s="84">
        <v>2633</v>
      </c>
    </row>
    <row r="449" spans="1:5" s="85" customFormat="1" ht="12" x14ac:dyDescent="0.2">
      <c r="A449" s="83">
        <f t="shared" si="6"/>
        <v>49008</v>
      </c>
      <c r="B449" s="83">
        <v>49</v>
      </c>
      <c r="C449" s="83" t="s">
        <v>202</v>
      </c>
      <c r="D449" s="83">
        <v>8</v>
      </c>
      <c r="E449" s="84">
        <v>2720</v>
      </c>
    </row>
    <row r="450" spans="1:5" s="85" customFormat="1" ht="12" x14ac:dyDescent="0.2">
      <c r="A450" s="83">
        <f t="shared" si="6"/>
        <v>49009</v>
      </c>
      <c r="B450" s="83">
        <v>49</v>
      </c>
      <c r="C450" s="83" t="s">
        <v>202</v>
      </c>
      <c r="D450" s="83">
        <v>9</v>
      </c>
      <c r="E450" s="84">
        <v>2069</v>
      </c>
    </row>
    <row r="451" spans="1:5" s="85" customFormat="1" ht="12" x14ac:dyDescent="0.2">
      <c r="A451" s="83">
        <f t="shared" ref="A451:A514" si="7">+B451*1000+D451</f>
        <v>49010</v>
      </c>
      <c r="B451" s="83">
        <v>49</v>
      </c>
      <c r="C451" s="83" t="s">
        <v>202</v>
      </c>
      <c r="D451" s="83">
        <v>10</v>
      </c>
      <c r="E451" s="84">
        <v>2445</v>
      </c>
    </row>
    <row r="452" spans="1:5" s="85" customFormat="1" ht="12" x14ac:dyDescent="0.2">
      <c r="A452" s="83">
        <f t="shared" si="7"/>
        <v>49011</v>
      </c>
      <c r="B452" s="83">
        <v>49</v>
      </c>
      <c r="C452" s="83" t="s">
        <v>202</v>
      </c>
      <c r="D452" s="83">
        <v>11</v>
      </c>
      <c r="E452" s="84">
        <v>2445</v>
      </c>
    </row>
    <row r="453" spans="1:5" s="85" customFormat="1" ht="12" x14ac:dyDescent="0.2">
      <c r="A453" s="83">
        <f t="shared" si="7"/>
        <v>50001</v>
      </c>
      <c r="B453" s="83">
        <v>50</v>
      </c>
      <c r="C453" s="83" t="s">
        <v>203</v>
      </c>
      <c r="D453" s="83">
        <v>1</v>
      </c>
      <c r="E453" s="84">
        <v>2112</v>
      </c>
    </row>
    <row r="454" spans="1:5" s="85" customFormat="1" ht="12" x14ac:dyDescent="0.2">
      <c r="A454" s="83">
        <f t="shared" si="7"/>
        <v>50002</v>
      </c>
      <c r="B454" s="83">
        <v>50</v>
      </c>
      <c r="C454" s="83" t="s">
        <v>203</v>
      </c>
      <c r="D454" s="83">
        <v>2</v>
      </c>
      <c r="E454" s="84">
        <v>2112</v>
      </c>
    </row>
    <row r="455" spans="1:5" s="85" customFormat="1" ht="12" x14ac:dyDescent="0.2">
      <c r="A455" s="83">
        <f t="shared" si="7"/>
        <v>50003</v>
      </c>
      <c r="B455" s="83">
        <v>50</v>
      </c>
      <c r="C455" s="83" t="s">
        <v>203</v>
      </c>
      <c r="D455" s="83">
        <v>3</v>
      </c>
      <c r="E455" s="84">
        <v>1920</v>
      </c>
    </row>
    <row r="456" spans="1:5" s="85" customFormat="1" ht="12" x14ac:dyDescent="0.2">
      <c r="A456" s="83">
        <f t="shared" si="7"/>
        <v>50004</v>
      </c>
      <c r="B456" s="83">
        <v>50</v>
      </c>
      <c r="C456" s="83" t="s">
        <v>203</v>
      </c>
      <c r="D456" s="83">
        <v>4</v>
      </c>
      <c r="E456" s="84">
        <v>1920</v>
      </c>
    </row>
    <row r="457" spans="1:5" s="85" customFormat="1" ht="12" x14ac:dyDescent="0.2">
      <c r="A457" s="83">
        <f t="shared" si="7"/>
        <v>50005</v>
      </c>
      <c r="B457" s="83">
        <v>50</v>
      </c>
      <c r="C457" s="83" t="s">
        <v>203</v>
      </c>
      <c r="D457" s="83">
        <v>5</v>
      </c>
      <c r="E457" s="84">
        <v>2112</v>
      </c>
    </row>
    <row r="458" spans="1:5" s="85" customFormat="1" ht="12" x14ac:dyDescent="0.2">
      <c r="A458" s="83">
        <f t="shared" si="7"/>
        <v>50006</v>
      </c>
      <c r="B458" s="83">
        <v>50</v>
      </c>
      <c r="C458" s="83" t="s">
        <v>203</v>
      </c>
      <c r="D458" s="83">
        <v>6</v>
      </c>
      <c r="E458" s="84">
        <v>1792</v>
      </c>
    </row>
    <row r="459" spans="1:5" s="85" customFormat="1" ht="12" x14ac:dyDescent="0.2">
      <c r="A459" s="83">
        <f t="shared" si="7"/>
        <v>50007</v>
      </c>
      <c r="B459" s="83">
        <v>50</v>
      </c>
      <c r="C459" s="83" t="s">
        <v>203</v>
      </c>
      <c r="D459" s="83">
        <v>7</v>
      </c>
      <c r="E459" s="84">
        <v>1792</v>
      </c>
    </row>
    <row r="460" spans="1:5" s="85" customFormat="1" ht="12" x14ac:dyDescent="0.2">
      <c r="A460" s="83">
        <f t="shared" si="7"/>
        <v>50008</v>
      </c>
      <c r="B460" s="83">
        <v>50</v>
      </c>
      <c r="C460" s="83" t="s">
        <v>203</v>
      </c>
      <c r="D460" s="83">
        <v>8</v>
      </c>
      <c r="E460" s="84">
        <v>2112</v>
      </c>
    </row>
    <row r="461" spans="1:5" s="85" customFormat="1" ht="12" x14ac:dyDescent="0.2">
      <c r="A461" s="83">
        <f t="shared" si="7"/>
        <v>50009</v>
      </c>
      <c r="B461" s="83">
        <v>50</v>
      </c>
      <c r="C461" s="83" t="s">
        <v>203</v>
      </c>
      <c r="D461" s="83">
        <v>9</v>
      </c>
      <c r="E461" s="84">
        <v>1856</v>
      </c>
    </row>
    <row r="462" spans="1:5" s="85" customFormat="1" ht="12" x14ac:dyDescent="0.2">
      <c r="A462" s="83">
        <f t="shared" si="7"/>
        <v>50010</v>
      </c>
      <c r="B462" s="83">
        <v>50</v>
      </c>
      <c r="C462" s="83" t="s">
        <v>203</v>
      </c>
      <c r="D462" s="83">
        <v>10</v>
      </c>
      <c r="E462" s="84">
        <v>1856</v>
      </c>
    </row>
    <row r="463" spans="1:5" s="85" customFormat="1" ht="12" x14ac:dyDescent="0.2">
      <c r="A463" s="83">
        <f t="shared" si="7"/>
        <v>50011</v>
      </c>
      <c r="B463" s="83">
        <v>50</v>
      </c>
      <c r="C463" s="83" t="s">
        <v>203</v>
      </c>
      <c r="D463" s="83">
        <v>11</v>
      </c>
      <c r="E463" s="84">
        <v>1792</v>
      </c>
    </row>
    <row r="464" spans="1:5" s="85" customFormat="1" ht="12" x14ac:dyDescent="0.2">
      <c r="A464" s="83">
        <f t="shared" si="7"/>
        <v>50012</v>
      </c>
      <c r="B464" s="83">
        <v>50</v>
      </c>
      <c r="C464" s="83" t="s">
        <v>203</v>
      </c>
      <c r="D464" s="83">
        <v>12</v>
      </c>
      <c r="E464" s="84">
        <v>1792</v>
      </c>
    </row>
    <row r="465" spans="1:5" s="85" customFormat="1" ht="12" x14ac:dyDescent="0.2">
      <c r="A465" s="83">
        <f t="shared" si="7"/>
        <v>50013</v>
      </c>
      <c r="B465" s="83">
        <v>50</v>
      </c>
      <c r="C465" s="83" t="s">
        <v>203</v>
      </c>
      <c r="D465" s="83">
        <v>13</v>
      </c>
      <c r="E465" s="84">
        <v>1664</v>
      </c>
    </row>
    <row r="466" spans="1:5" s="85" customFormat="1" ht="12" x14ac:dyDescent="0.2">
      <c r="A466" s="83">
        <f t="shared" si="7"/>
        <v>50014</v>
      </c>
      <c r="B466" s="83">
        <v>50</v>
      </c>
      <c r="C466" s="83" t="s">
        <v>203</v>
      </c>
      <c r="D466" s="83">
        <v>14</v>
      </c>
      <c r="E466" s="84">
        <v>1792</v>
      </c>
    </row>
    <row r="467" spans="1:5" s="85" customFormat="1" ht="12" x14ac:dyDescent="0.2">
      <c r="A467" s="83">
        <f t="shared" si="7"/>
        <v>50015</v>
      </c>
      <c r="B467" s="83">
        <v>50</v>
      </c>
      <c r="C467" s="83" t="s">
        <v>203</v>
      </c>
      <c r="D467" s="83">
        <v>15</v>
      </c>
      <c r="E467" s="84">
        <v>1792</v>
      </c>
    </row>
    <row r="468" spans="1:5" s="85" customFormat="1" ht="12" x14ac:dyDescent="0.2">
      <c r="A468" s="83">
        <f t="shared" si="7"/>
        <v>51002</v>
      </c>
      <c r="B468" s="83">
        <v>51</v>
      </c>
      <c r="C468" s="83" t="s">
        <v>204</v>
      </c>
      <c r="D468" s="83">
        <v>2</v>
      </c>
      <c r="E468" s="84">
        <v>1693</v>
      </c>
    </row>
    <row r="469" spans="1:5" s="85" customFormat="1" ht="12" x14ac:dyDescent="0.2">
      <c r="A469" s="83">
        <f t="shared" si="7"/>
        <v>51003</v>
      </c>
      <c r="B469" s="83">
        <v>51</v>
      </c>
      <c r="C469" s="83" t="s">
        <v>204</v>
      </c>
      <c r="D469" s="83">
        <v>3</v>
      </c>
      <c r="E469" s="84">
        <v>1863</v>
      </c>
    </row>
    <row r="470" spans="1:5" s="85" customFormat="1" ht="12" x14ac:dyDescent="0.2">
      <c r="A470" s="83">
        <f t="shared" si="7"/>
        <v>51004</v>
      </c>
      <c r="B470" s="83">
        <v>51</v>
      </c>
      <c r="C470" s="83" t="s">
        <v>204</v>
      </c>
      <c r="D470" s="83">
        <v>4</v>
      </c>
      <c r="E470" s="84">
        <v>1693</v>
      </c>
    </row>
    <row r="471" spans="1:5" s="85" customFormat="1" ht="12" x14ac:dyDescent="0.2">
      <c r="A471" s="83">
        <f t="shared" si="7"/>
        <v>51005</v>
      </c>
      <c r="B471" s="83">
        <v>51</v>
      </c>
      <c r="C471" s="83" t="s">
        <v>204</v>
      </c>
      <c r="D471" s="83">
        <v>5</v>
      </c>
      <c r="E471" s="84">
        <v>1863</v>
      </c>
    </row>
    <row r="472" spans="1:5" s="85" customFormat="1" ht="12" x14ac:dyDescent="0.2">
      <c r="A472" s="83">
        <f t="shared" si="7"/>
        <v>51006</v>
      </c>
      <c r="B472" s="83">
        <v>51</v>
      </c>
      <c r="C472" s="83" t="s">
        <v>204</v>
      </c>
      <c r="D472" s="83">
        <v>6</v>
      </c>
      <c r="E472" s="84">
        <v>1637</v>
      </c>
    </row>
    <row r="473" spans="1:5" s="85" customFormat="1" ht="12" x14ac:dyDescent="0.2">
      <c r="A473" s="83">
        <f t="shared" si="7"/>
        <v>51007</v>
      </c>
      <c r="B473" s="83">
        <v>51</v>
      </c>
      <c r="C473" s="83" t="s">
        <v>204</v>
      </c>
      <c r="D473" s="83">
        <v>7</v>
      </c>
      <c r="E473" s="84">
        <v>1863</v>
      </c>
    </row>
    <row r="474" spans="1:5" s="85" customFormat="1" ht="12" x14ac:dyDescent="0.2">
      <c r="A474" s="83">
        <f t="shared" si="7"/>
        <v>51008</v>
      </c>
      <c r="B474" s="83">
        <v>51</v>
      </c>
      <c r="C474" s="83" t="s">
        <v>204</v>
      </c>
      <c r="D474" s="83">
        <v>8</v>
      </c>
      <c r="E474" s="84">
        <v>1693</v>
      </c>
    </row>
    <row r="475" spans="1:5" s="85" customFormat="1" ht="12" x14ac:dyDescent="0.2">
      <c r="A475" s="83">
        <f t="shared" si="7"/>
        <v>51009</v>
      </c>
      <c r="B475" s="83">
        <v>51</v>
      </c>
      <c r="C475" s="83" t="s">
        <v>204</v>
      </c>
      <c r="D475" s="83">
        <v>9</v>
      </c>
      <c r="E475" s="84">
        <v>1863</v>
      </c>
    </row>
    <row r="476" spans="1:5" s="85" customFormat="1" ht="12" x14ac:dyDescent="0.2">
      <c r="A476" s="83">
        <f t="shared" si="7"/>
        <v>51010</v>
      </c>
      <c r="B476" s="83">
        <v>51</v>
      </c>
      <c r="C476" s="83" t="s">
        <v>204</v>
      </c>
      <c r="D476" s="83">
        <v>10</v>
      </c>
      <c r="E476" s="84">
        <v>1637</v>
      </c>
    </row>
    <row r="477" spans="1:5" s="85" customFormat="1" ht="12" x14ac:dyDescent="0.2">
      <c r="A477" s="83">
        <f t="shared" si="7"/>
        <v>51011</v>
      </c>
      <c r="B477" s="83">
        <v>51</v>
      </c>
      <c r="C477" s="83" t="s">
        <v>204</v>
      </c>
      <c r="D477" s="83">
        <v>11</v>
      </c>
      <c r="E477" s="84">
        <v>1637</v>
      </c>
    </row>
    <row r="478" spans="1:5" s="85" customFormat="1" ht="12" x14ac:dyDescent="0.2">
      <c r="A478" s="83">
        <f t="shared" si="7"/>
        <v>51012</v>
      </c>
      <c r="B478" s="83">
        <v>51</v>
      </c>
      <c r="C478" s="83" t="s">
        <v>204</v>
      </c>
      <c r="D478" s="83">
        <v>12</v>
      </c>
      <c r="E478" s="84">
        <v>1637</v>
      </c>
    </row>
    <row r="479" spans="1:5" s="85" customFormat="1" ht="12" x14ac:dyDescent="0.2">
      <c r="A479" s="83">
        <f t="shared" si="7"/>
        <v>51013</v>
      </c>
      <c r="B479" s="83">
        <v>51</v>
      </c>
      <c r="C479" s="83" t="s">
        <v>204</v>
      </c>
      <c r="D479" s="83">
        <v>13</v>
      </c>
      <c r="E479" s="84">
        <v>1580</v>
      </c>
    </row>
    <row r="480" spans="1:5" s="85" customFormat="1" ht="12" x14ac:dyDescent="0.2">
      <c r="A480" s="83">
        <f t="shared" si="7"/>
        <v>51014</v>
      </c>
      <c r="B480" s="83">
        <v>51</v>
      </c>
      <c r="C480" s="83" t="s">
        <v>204</v>
      </c>
      <c r="D480" s="83">
        <v>14</v>
      </c>
      <c r="E480" s="84">
        <v>1637</v>
      </c>
    </row>
    <row r="481" spans="1:5" s="85" customFormat="1" ht="12" x14ac:dyDescent="0.2">
      <c r="A481" s="83">
        <f t="shared" si="7"/>
        <v>51015</v>
      </c>
      <c r="B481" s="83">
        <v>51</v>
      </c>
      <c r="C481" s="83" t="s">
        <v>204</v>
      </c>
      <c r="D481" s="83">
        <v>15</v>
      </c>
      <c r="E481" s="84">
        <v>1580</v>
      </c>
    </row>
    <row r="482" spans="1:5" s="85" customFormat="1" ht="12" x14ac:dyDescent="0.2">
      <c r="A482" s="83">
        <f t="shared" si="7"/>
        <v>51016</v>
      </c>
      <c r="B482" s="83">
        <v>51</v>
      </c>
      <c r="C482" s="83" t="s">
        <v>204</v>
      </c>
      <c r="D482" s="83">
        <v>16</v>
      </c>
      <c r="E482" s="84">
        <v>1693</v>
      </c>
    </row>
    <row r="483" spans="1:5" s="85" customFormat="1" ht="12" x14ac:dyDescent="0.2">
      <c r="A483" s="83">
        <f t="shared" si="7"/>
        <v>52001</v>
      </c>
      <c r="B483" s="83">
        <v>52</v>
      </c>
      <c r="C483" s="83" t="s">
        <v>205</v>
      </c>
      <c r="D483" s="83">
        <v>1</v>
      </c>
      <c r="E483" s="84">
        <v>1438</v>
      </c>
    </row>
    <row r="484" spans="1:5" s="85" customFormat="1" ht="12" x14ac:dyDescent="0.2">
      <c r="A484" s="83">
        <f t="shared" si="7"/>
        <v>52002</v>
      </c>
      <c r="B484" s="83">
        <v>52</v>
      </c>
      <c r="C484" s="83" t="s">
        <v>205</v>
      </c>
      <c r="D484" s="83">
        <v>2</v>
      </c>
      <c r="E484" s="84">
        <v>1190</v>
      </c>
    </row>
    <row r="485" spans="1:5" s="85" customFormat="1" ht="12" x14ac:dyDescent="0.2">
      <c r="A485" s="83">
        <f t="shared" si="7"/>
        <v>52003</v>
      </c>
      <c r="B485" s="83">
        <v>52</v>
      </c>
      <c r="C485" s="83" t="s">
        <v>205</v>
      </c>
      <c r="D485" s="83">
        <v>3</v>
      </c>
      <c r="E485" s="84">
        <v>1438</v>
      </c>
    </row>
    <row r="486" spans="1:5" s="85" customFormat="1" ht="12" x14ac:dyDescent="0.2">
      <c r="A486" s="83">
        <f t="shared" si="7"/>
        <v>52004</v>
      </c>
      <c r="B486" s="83">
        <v>52</v>
      </c>
      <c r="C486" s="83" t="s">
        <v>205</v>
      </c>
      <c r="D486" s="83">
        <v>4</v>
      </c>
      <c r="E486" s="84">
        <v>1438</v>
      </c>
    </row>
    <row r="487" spans="1:5" s="85" customFormat="1" ht="12" x14ac:dyDescent="0.2">
      <c r="A487" s="83">
        <f t="shared" si="7"/>
        <v>52005</v>
      </c>
      <c r="B487" s="83">
        <v>52</v>
      </c>
      <c r="C487" s="83" t="s">
        <v>205</v>
      </c>
      <c r="D487" s="83">
        <v>5</v>
      </c>
      <c r="E487" s="84">
        <v>1438</v>
      </c>
    </row>
    <row r="488" spans="1:5" s="85" customFormat="1" ht="12" x14ac:dyDescent="0.2">
      <c r="A488" s="83">
        <f t="shared" si="7"/>
        <v>52006</v>
      </c>
      <c r="B488" s="83">
        <v>52</v>
      </c>
      <c r="C488" s="83" t="s">
        <v>205</v>
      </c>
      <c r="D488" s="83">
        <v>6</v>
      </c>
      <c r="E488" s="84">
        <v>1438</v>
      </c>
    </row>
    <row r="489" spans="1:5" s="85" customFormat="1" ht="12" x14ac:dyDescent="0.2">
      <c r="A489" s="83">
        <f t="shared" si="7"/>
        <v>52007</v>
      </c>
      <c r="B489" s="83">
        <v>52</v>
      </c>
      <c r="C489" s="83" t="s">
        <v>205</v>
      </c>
      <c r="D489" s="83">
        <v>7</v>
      </c>
      <c r="E489" s="84">
        <v>1438</v>
      </c>
    </row>
    <row r="490" spans="1:5" s="85" customFormat="1" ht="12" x14ac:dyDescent="0.2">
      <c r="A490" s="83">
        <f t="shared" si="7"/>
        <v>52008</v>
      </c>
      <c r="B490" s="83">
        <v>52</v>
      </c>
      <c r="C490" s="83" t="s">
        <v>205</v>
      </c>
      <c r="D490" s="83">
        <v>8</v>
      </c>
      <c r="E490" s="84">
        <v>1289</v>
      </c>
    </row>
    <row r="491" spans="1:5" s="85" customFormat="1" ht="12" x14ac:dyDescent="0.2">
      <c r="A491" s="83">
        <f t="shared" si="7"/>
        <v>52009</v>
      </c>
      <c r="B491" s="83">
        <v>52</v>
      </c>
      <c r="C491" s="83" t="s">
        <v>205</v>
      </c>
      <c r="D491" s="83">
        <v>9</v>
      </c>
      <c r="E491" s="84">
        <v>1438</v>
      </c>
    </row>
    <row r="492" spans="1:5" s="85" customFormat="1" ht="12" x14ac:dyDescent="0.2">
      <c r="A492" s="83">
        <f t="shared" si="7"/>
        <v>53001</v>
      </c>
      <c r="B492" s="83">
        <v>53</v>
      </c>
      <c r="C492" s="83" t="s">
        <v>206</v>
      </c>
      <c r="D492" s="83">
        <v>1</v>
      </c>
      <c r="E492" s="84">
        <v>1640</v>
      </c>
    </row>
    <row r="493" spans="1:5" s="85" customFormat="1" ht="12" x14ac:dyDescent="0.2">
      <c r="A493" s="83">
        <f t="shared" si="7"/>
        <v>53002</v>
      </c>
      <c r="B493" s="83">
        <v>53</v>
      </c>
      <c r="C493" s="83" t="s">
        <v>206</v>
      </c>
      <c r="D493" s="83">
        <v>2</v>
      </c>
      <c r="E493" s="84">
        <v>1698</v>
      </c>
    </row>
    <row r="494" spans="1:5" s="85" customFormat="1" ht="12" x14ac:dyDescent="0.2">
      <c r="A494" s="83">
        <f t="shared" si="7"/>
        <v>53003</v>
      </c>
      <c r="B494" s="83">
        <v>53</v>
      </c>
      <c r="C494" s="83" t="s">
        <v>206</v>
      </c>
      <c r="D494" s="83">
        <v>3</v>
      </c>
      <c r="E494" s="84">
        <v>1640</v>
      </c>
    </row>
    <row r="495" spans="1:5" s="85" customFormat="1" ht="12" x14ac:dyDescent="0.2">
      <c r="A495" s="83">
        <f t="shared" si="7"/>
        <v>53004</v>
      </c>
      <c r="B495" s="83">
        <v>53</v>
      </c>
      <c r="C495" s="83" t="s">
        <v>206</v>
      </c>
      <c r="D495" s="83">
        <v>4</v>
      </c>
      <c r="E495" s="84">
        <v>1640</v>
      </c>
    </row>
    <row r="496" spans="1:5" s="85" customFormat="1" ht="12" x14ac:dyDescent="0.2">
      <c r="A496" s="83">
        <f t="shared" si="7"/>
        <v>53005</v>
      </c>
      <c r="B496" s="83">
        <v>53</v>
      </c>
      <c r="C496" s="83" t="s">
        <v>206</v>
      </c>
      <c r="D496" s="83">
        <v>5</v>
      </c>
      <c r="E496" s="84">
        <v>1698</v>
      </c>
    </row>
    <row r="497" spans="1:5" s="85" customFormat="1" ht="12" x14ac:dyDescent="0.2">
      <c r="A497" s="83">
        <f t="shared" si="7"/>
        <v>53006</v>
      </c>
      <c r="B497" s="83">
        <v>53</v>
      </c>
      <c r="C497" s="83" t="s">
        <v>206</v>
      </c>
      <c r="D497" s="83">
        <v>6</v>
      </c>
      <c r="E497" s="84">
        <v>1698</v>
      </c>
    </row>
    <row r="498" spans="1:5" s="85" customFormat="1" ht="12" x14ac:dyDescent="0.2">
      <c r="A498" s="83">
        <f t="shared" si="7"/>
        <v>53007</v>
      </c>
      <c r="B498" s="83">
        <v>53</v>
      </c>
      <c r="C498" s="83" t="s">
        <v>206</v>
      </c>
      <c r="D498" s="83">
        <v>7</v>
      </c>
      <c r="E498" s="84">
        <v>1405</v>
      </c>
    </row>
    <row r="499" spans="1:5" s="85" customFormat="1" ht="12" x14ac:dyDescent="0.2">
      <c r="A499" s="83">
        <f t="shared" si="7"/>
        <v>53008</v>
      </c>
      <c r="B499" s="83">
        <v>53</v>
      </c>
      <c r="C499" s="83" t="s">
        <v>206</v>
      </c>
      <c r="D499" s="83">
        <v>8</v>
      </c>
      <c r="E499" s="84">
        <v>1757</v>
      </c>
    </row>
    <row r="500" spans="1:5" s="85" customFormat="1" ht="12" x14ac:dyDescent="0.2">
      <c r="A500" s="83">
        <f t="shared" si="7"/>
        <v>53009</v>
      </c>
      <c r="B500" s="83">
        <v>53</v>
      </c>
      <c r="C500" s="83" t="s">
        <v>206</v>
      </c>
      <c r="D500" s="83">
        <v>9</v>
      </c>
      <c r="E500" s="84">
        <v>1757</v>
      </c>
    </row>
    <row r="501" spans="1:5" s="85" customFormat="1" ht="12" x14ac:dyDescent="0.2">
      <c r="A501" s="83">
        <f t="shared" si="7"/>
        <v>53010</v>
      </c>
      <c r="B501" s="83">
        <v>53</v>
      </c>
      <c r="C501" s="83" t="s">
        <v>206</v>
      </c>
      <c r="D501" s="83">
        <v>10</v>
      </c>
      <c r="E501" s="84">
        <v>1405</v>
      </c>
    </row>
    <row r="502" spans="1:5" s="85" customFormat="1" ht="12" x14ac:dyDescent="0.2">
      <c r="A502" s="83">
        <f t="shared" si="7"/>
        <v>53011</v>
      </c>
      <c r="B502" s="83">
        <v>53</v>
      </c>
      <c r="C502" s="83" t="s">
        <v>206</v>
      </c>
      <c r="D502" s="83">
        <v>11</v>
      </c>
      <c r="E502" s="84">
        <v>1405</v>
      </c>
    </row>
    <row r="503" spans="1:5" s="85" customFormat="1" ht="12" x14ac:dyDescent="0.2">
      <c r="A503" s="83">
        <f t="shared" si="7"/>
        <v>54001</v>
      </c>
      <c r="B503" s="83">
        <v>54</v>
      </c>
      <c r="C503" s="83" t="s">
        <v>207</v>
      </c>
      <c r="D503" s="83">
        <v>1</v>
      </c>
      <c r="E503" s="84">
        <v>3842</v>
      </c>
    </row>
    <row r="504" spans="1:5" s="85" customFormat="1" ht="12" x14ac:dyDescent="0.2">
      <c r="A504" s="83">
        <f t="shared" si="7"/>
        <v>54002</v>
      </c>
      <c r="B504" s="83">
        <v>54</v>
      </c>
      <c r="C504" s="83" t="s">
        <v>207</v>
      </c>
      <c r="D504" s="83">
        <v>2</v>
      </c>
      <c r="E504" s="84">
        <v>3842</v>
      </c>
    </row>
    <row r="505" spans="1:5" s="85" customFormat="1" ht="12" x14ac:dyDescent="0.2">
      <c r="A505" s="83">
        <f t="shared" si="7"/>
        <v>54003</v>
      </c>
      <c r="B505" s="83">
        <v>54</v>
      </c>
      <c r="C505" s="83" t="s">
        <v>207</v>
      </c>
      <c r="D505" s="83">
        <v>3</v>
      </c>
      <c r="E505" s="84">
        <v>3842</v>
      </c>
    </row>
    <row r="506" spans="1:5" s="85" customFormat="1" ht="12" x14ac:dyDescent="0.2">
      <c r="A506" s="83">
        <f t="shared" si="7"/>
        <v>54004</v>
      </c>
      <c r="B506" s="83">
        <v>54</v>
      </c>
      <c r="C506" s="83" t="s">
        <v>207</v>
      </c>
      <c r="D506" s="83">
        <v>4</v>
      </c>
      <c r="E506" s="84">
        <v>3842</v>
      </c>
    </row>
    <row r="507" spans="1:5" s="85" customFormat="1" ht="12" x14ac:dyDescent="0.2">
      <c r="A507" s="83">
        <f t="shared" si="7"/>
        <v>54005</v>
      </c>
      <c r="B507" s="83">
        <v>54</v>
      </c>
      <c r="C507" s="83" t="s">
        <v>207</v>
      </c>
      <c r="D507" s="83">
        <v>5</v>
      </c>
      <c r="E507" s="84">
        <v>3842</v>
      </c>
    </row>
    <row r="508" spans="1:5" s="85" customFormat="1" ht="12" x14ac:dyDescent="0.2">
      <c r="A508" s="83">
        <f t="shared" si="7"/>
        <v>54006</v>
      </c>
      <c r="B508" s="83">
        <v>54</v>
      </c>
      <c r="C508" s="83" t="s">
        <v>207</v>
      </c>
      <c r="D508" s="83">
        <v>6</v>
      </c>
      <c r="E508" s="84">
        <v>3842</v>
      </c>
    </row>
    <row r="509" spans="1:5" s="85" customFormat="1" ht="12" x14ac:dyDescent="0.2">
      <c r="A509" s="83">
        <f t="shared" si="7"/>
        <v>54007</v>
      </c>
      <c r="B509" s="83">
        <v>54</v>
      </c>
      <c r="C509" s="83" t="s">
        <v>207</v>
      </c>
      <c r="D509" s="83">
        <v>7</v>
      </c>
      <c r="E509" s="84">
        <v>3842</v>
      </c>
    </row>
    <row r="510" spans="1:5" s="85" customFormat="1" ht="12" x14ac:dyDescent="0.2">
      <c r="A510" s="83">
        <f t="shared" si="7"/>
        <v>54008</v>
      </c>
      <c r="B510" s="83">
        <v>54</v>
      </c>
      <c r="C510" s="83" t="s">
        <v>207</v>
      </c>
      <c r="D510" s="83">
        <v>8</v>
      </c>
      <c r="E510" s="84">
        <v>3842</v>
      </c>
    </row>
    <row r="511" spans="1:5" s="85" customFormat="1" ht="12" x14ac:dyDescent="0.2">
      <c r="A511" s="83">
        <f t="shared" si="7"/>
        <v>54009</v>
      </c>
      <c r="B511" s="83">
        <v>54</v>
      </c>
      <c r="C511" s="83" t="s">
        <v>207</v>
      </c>
      <c r="D511" s="83">
        <v>9</v>
      </c>
      <c r="E511" s="84">
        <v>3842</v>
      </c>
    </row>
    <row r="512" spans="1:5" s="85" customFormat="1" ht="12" x14ac:dyDescent="0.2">
      <c r="A512" s="83">
        <f t="shared" si="7"/>
        <v>54010</v>
      </c>
      <c r="B512" s="83">
        <v>54</v>
      </c>
      <c r="C512" s="83" t="s">
        <v>207</v>
      </c>
      <c r="D512" s="83">
        <v>10</v>
      </c>
      <c r="E512" s="84">
        <v>3842</v>
      </c>
    </row>
    <row r="513" spans="1:5" s="85" customFormat="1" ht="12" x14ac:dyDescent="0.2">
      <c r="A513" s="83">
        <f t="shared" si="7"/>
        <v>54011</v>
      </c>
      <c r="B513" s="83">
        <v>54</v>
      </c>
      <c r="C513" s="83" t="s">
        <v>207</v>
      </c>
      <c r="D513" s="83">
        <v>11</v>
      </c>
      <c r="E513" s="84">
        <v>3202</v>
      </c>
    </row>
    <row r="514" spans="1:5" s="85" customFormat="1" ht="12" x14ac:dyDescent="0.2">
      <c r="A514" s="83">
        <f t="shared" si="7"/>
        <v>54012</v>
      </c>
      <c r="B514" s="83">
        <v>54</v>
      </c>
      <c r="C514" s="83" t="s">
        <v>207</v>
      </c>
      <c r="D514" s="83">
        <v>12</v>
      </c>
      <c r="E514" s="84">
        <v>3522</v>
      </c>
    </row>
    <row r="515" spans="1:5" s="85" customFormat="1" ht="12" x14ac:dyDescent="0.2">
      <c r="A515" s="83">
        <f t="shared" ref="A515:A578" si="8">+B515*1000+D515</f>
        <v>54013</v>
      </c>
      <c r="B515" s="83">
        <v>54</v>
      </c>
      <c r="C515" s="83" t="s">
        <v>207</v>
      </c>
      <c r="D515" s="83">
        <v>13</v>
      </c>
      <c r="E515" s="84">
        <v>3202</v>
      </c>
    </row>
    <row r="516" spans="1:5" s="85" customFormat="1" ht="12" x14ac:dyDescent="0.2">
      <c r="A516" s="83">
        <f t="shared" si="8"/>
        <v>54014</v>
      </c>
      <c r="B516" s="83">
        <v>54</v>
      </c>
      <c r="C516" s="83" t="s">
        <v>207</v>
      </c>
      <c r="D516" s="83">
        <v>14</v>
      </c>
      <c r="E516" s="84">
        <v>3842</v>
      </c>
    </row>
    <row r="517" spans="1:5" s="85" customFormat="1" ht="12" x14ac:dyDescent="0.2">
      <c r="A517" s="83">
        <f t="shared" si="8"/>
        <v>54015</v>
      </c>
      <c r="B517" s="83">
        <v>54</v>
      </c>
      <c r="C517" s="83" t="s">
        <v>207</v>
      </c>
      <c r="D517" s="83">
        <v>15</v>
      </c>
      <c r="E517" s="84">
        <v>3842</v>
      </c>
    </row>
    <row r="518" spans="1:5" s="85" customFormat="1" ht="12" x14ac:dyDescent="0.2">
      <c r="A518" s="83">
        <f t="shared" si="8"/>
        <v>55002</v>
      </c>
      <c r="B518" s="83">
        <v>55</v>
      </c>
      <c r="C518" s="83" t="s">
        <v>208</v>
      </c>
      <c r="D518" s="83">
        <v>2</v>
      </c>
      <c r="E518" s="84">
        <v>4572</v>
      </c>
    </row>
    <row r="519" spans="1:5" s="85" customFormat="1" ht="12" x14ac:dyDescent="0.2">
      <c r="A519" s="83">
        <f t="shared" si="8"/>
        <v>55003</v>
      </c>
      <c r="B519" s="83">
        <v>55</v>
      </c>
      <c r="C519" s="83" t="s">
        <v>208</v>
      </c>
      <c r="D519" s="83">
        <v>3</v>
      </c>
      <c r="E519" s="84">
        <v>4572</v>
      </c>
    </row>
    <row r="520" spans="1:5" s="85" customFormat="1" ht="12" x14ac:dyDescent="0.2">
      <c r="A520" s="83">
        <f t="shared" si="8"/>
        <v>55004</v>
      </c>
      <c r="B520" s="83">
        <v>55</v>
      </c>
      <c r="C520" s="83" t="s">
        <v>208</v>
      </c>
      <c r="D520" s="83">
        <v>4</v>
      </c>
      <c r="E520" s="84">
        <v>3683</v>
      </c>
    </row>
    <row r="521" spans="1:5" s="85" customFormat="1" ht="12" x14ac:dyDescent="0.2">
      <c r="A521" s="83">
        <f t="shared" si="8"/>
        <v>55006</v>
      </c>
      <c r="B521" s="83">
        <v>55</v>
      </c>
      <c r="C521" s="83" t="s">
        <v>208</v>
      </c>
      <c r="D521" s="83">
        <v>6</v>
      </c>
      <c r="E521" s="84">
        <v>4572</v>
      </c>
    </row>
    <row r="522" spans="1:5" s="85" customFormat="1" ht="12" x14ac:dyDescent="0.2">
      <c r="A522" s="83">
        <f t="shared" si="8"/>
        <v>55007</v>
      </c>
      <c r="B522" s="83">
        <v>55</v>
      </c>
      <c r="C522" s="83" t="s">
        <v>208</v>
      </c>
      <c r="D522" s="83">
        <v>7</v>
      </c>
      <c r="E522" s="84">
        <v>3048</v>
      </c>
    </row>
    <row r="523" spans="1:5" s="85" customFormat="1" ht="12" x14ac:dyDescent="0.2">
      <c r="A523" s="83">
        <f t="shared" si="8"/>
        <v>55008</v>
      </c>
      <c r="B523" s="83">
        <v>55</v>
      </c>
      <c r="C523" s="83" t="s">
        <v>208</v>
      </c>
      <c r="D523" s="83">
        <v>8</v>
      </c>
      <c r="E523" s="84">
        <v>3048</v>
      </c>
    </row>
    <row r="524" spans="1:5" s="85" customFormat="1" ht="12" x14ac:dyDescent="0.2">
      <c r="A524" s="83">
        <f t="shared" si="8"/>
        <v>55009</v>
      </c>
      <c r="B524" s="83">
        <v>55</v>
      </c>
      <c r="C524" s="83" t="s">
        <v>208</v>
      </c>
      <c r="D524" s="83">
        <v>9</v>
      </c>
      <c r="E524" s="84">
        <v>3048</v>
      </c>
    </row>
    <row r="525" spans="1:5" s="85" customFormat="1" ht="12" x14ac:dyDescent="0.2">
      <c r="A525" s="83">
        <f t="shared" si="8"/>
        <v>55010</v>
      </c>
      <c r="B525" s="83">
        <v>55</v>
      </c>
      <c r="C525" s="83" t="s">
        <v>208</v>
      </c>
      <c r="D525" s="83">
        <v>10</v>
      </c>
      <c r="E525" s="84">
        <v>3048</v>
      </c>
    </row>
    <row r="526" spans="1:5" s="85" customFormat="1" ht="12" x14ac:dyDescent="0.2">
      <c r="A526" s="83">
        <f t="shared" si="8"/>
        <v>56001</v>
      </c>
      <c r="B526" s="83">
        <v>56</v>
      </c>
      <c r="C526" s="83" t="s">
        <v>209</v>
      </c>
      <c r="D526" s="83">
        <v>1</v>
      </c>
      <c r="E526" s="84">
        <v>1431</v>
      </c>
    </row>
    <row r="527" spans="1:5" s="85" customFormat="1" ht="12" x14ac:dyDescent="0.2">
      <c r="A527" s="83">
        <f t="shared" si="8"/>
        <v>56002</v>
      </c>
      <c r="B527" s="83">
        <v>56</v>
      </c>
      <c r="C527" s="83" t="s">
        <v>209</v>
      </c>
      <c r="D527" s="83">
        <v>2</v>
      </c>
      <c r="E527" s="84">
        <v>1431</v>
      </c>
    </row>
    <row r="528" spans="1:5" s="85" customFormat="1" ht="12" x14ac:dyDescent="0.2">
      <c r="A528" s="83">
        <f t="shared" si="8"/>
        <v>56003</v>
      </c>
      <c r="B528" s="83">
        <v>56</v>
      </c>
      <c r="C528" s="83" t="s">
        <v>209</v>
      </c>
      <c r="D528" s="83">
        <v>3</v>
      </c>
      <c r="E528" s="84">
        <v>1431</v>
      </c>
    </row>
    <row r="529" spans="1:5" s="85" customFormat="1" ht="12" x14ac:dyDescent="0.2">
      <c r="A529" s="83">
        <f t="shared" si="8"/>
        <v>56004</v>
      </c>
      <c r="B529" s="83">
        <v>56</v>
      </c>
      <c r="C529" s="83" t="s">
        <v>209</v>
      </c>
      <c r="D529" s="83">
        <v>4</v>
      </c>
      <c r="E529" s="84">
        <v>1381</v>
      </c>
    </row>
    <row r="530" spans="1:5" s="85" customFormat="1" ht="12" x14ac:dyDescent="0.2">
      <c r="A530" s="83">
        <f t="shared" si="8"/>
        <v>56005</v>
      </c>
      <c r="B530" s="83">
        <v>56</v>
      </c>
      <c r="C530" s="83" t="s">
        <v>209</v>
      </c>
      <c r="D530" s="83">
        <v>5</v>
      </c>
      <c r="E530" s="84">
        <v>1381</v>
      </c>
    </row>
    <row r="531" spans="1:5" s="85" customFormat="1" ht="12" x14ac:dyDescent="0.2">
      <c r="A531" s="83">
        <f t="shared" si="8"/>
        <v>56006</v>
      </c>
      <c r="B531" s="83">
        <v>56</v>
      </c>
      <c r="C531" s="83" t="s">
        <v>209</v>
      </c>
      <c r="D531" s="83">
        <v>6</v>
      </c>
      <c r="E531" s="84">
        <v>1381</v>
      </c>
    </row>
    <row r="532" spans="1:5" s="85" customFormat="1" ht="12" x14ac:dyDescent="0.2">
      <c r="A532" s="83">
        <f t="shared" si="8"/>
        <v>56007</v>
      </c>
      <c r="B532" s="83">
        <v>56</v>
      </c>
      <c r="C532" s="83" t="s">
        <v>209</v>
      </c>
      <c r="D532" s="83">
        <v>7</v>
      </c>
      <c r="E532" s="84">
        <v>1431</v>
      </c>
    </row>
    <row r="533" spans="1:5" s="85" customFormat="1" ht="12" x14ac:dyDescent="0.2">
      <c r="A533" s="83">
        <f t="shared" si="8"/>
        <v>56008</v>
      </c>
      <c r="B533" s="83">
        <v>56</v>
      </c>
      <c r="C533" s="83" t="s">
        <v>209</v>
      </c>
      <c r="D533" s="83">
        <v>8</v>
      </c>
      <c r="E533" s="84">
        <v>1381</v>
      </c>
    </row>
    <row r="534" spans="1:5" s="85" customFormat="1" ht="12" x14ac:dyDescent="0.2">
      <c r="A534" s="83">
        <f t="shared" si="8"/>
        <v>56009</v>
      </c>
      <c r="B534" s="83">
        <v>56</v>
      </c>
      <c r="C534" s="83" t="s">
        <v>209</v>
      </c>
      <c r="D534" s="83">
        <v>9</v>
      </c>
      <c r="E534" s="84">
        <v>1431</v>
      </c>
    </row>
    <row r="535" spans="1:5" s="85" customFormat="1" ht="12" x14ac:dyDescent="0.2">
      <c r="A535" s="83">
        <f t="shared" si="8"/>
        <v>56010</v>
      </c>
      <c r="B535" s="83">
        <v>56</v>
      </c>
      <c r="C535" s="83" t="s">
        <v>209</v>
      </c>
      <c r="D535" s="83">
        <v>10</v>
      </c>
      <c r="E535" s="84">
        <v>1431</v>
      </c>
    </row>
    <row r="536" spans="1:5" s="85" customFormat="1" ht="12" x14ac:dyDescent="0.2">
      <c r="A536" s="83">
        <f t="shared" si="8"/>
        <v>56011</v>
      </c>
      <c r="B536" s="83">
        <v>56</v>
      </c>
      <c r="C536" s="83" t="s">
        <v>209</v>
      </c>
      <c r="D536" s="83">
        <v>11</v>
      </c>
      <c r="E536" s="84">
        <v>1431</v>
      </c>
    </row>
    <row r="537" spans="1:5" s="85" customFormat="1" ht="12" x14ac:dyDescent="0.2">
      <c r="A537" s="83">
        <f t="shared" si="8"/>
        <v>56012</v>
      </c>
      <c r="B537" s="83">
        <v>56</v>
      </c>
      <c r="C537" s="83" t="s">
        <v>209</v>
      </c>
      <c r="D537" s="83">
        <v>12</v>
      </c>
      <c r="E537" s="84">
        <v>1431</v>
      </c>
    </row>
    <row r="538" spans="1:5" s="85" customFormat="1" ht="12" x14ac:dyDescent="0.2">
      <c r="A538" s="83">
        <f t="shared" si="8"/>
        <v>57001</v>
      </c>
      <c r="B538" s="83">
        <v>57</v>
      </c>
      <c r="C538" s="83" t="s">
        <v>210</v>
      </c>
      <c r="D538" s="83">
        <v>1</v>
      </c>
      <c r="E538" s="84">
        <v>8068</v>
      </c>
    </row>
    <row r="539" spans="1:5" s="85" customFormat="1" ht="12" x14ac:dyDescent="0.2">
      <c r="A539" s="83">
        <f t="shared" si="8"/>
        <v>57002</v>
      </c>
      <c r="B539" s="83">
        <v>57</v>
      </c>
      <c r="C539" s="83" t="s">
        <v>210</v>
      </c>
      <c r="D539" s="83">
        <v>2</v>
      </c>
      <c r="E539" s="84">
        <v>8299</v>
      </c>
    </row>
    <row r="540" spans="1:5" s="85" customFormat="1" ht="12" x14ac:dyDescent="0.2">
      <c r="A540" s="83">
        <f t="shared" si="8"/>
        <v>57003</v>
      </c>
      <c r="B540" s="83">
        <v>57</v>
      </c>
      <c r="C540" s="83" t="s">
        <v>210</v>
      </c>
      <c r="D540" s="83">
        <v>3</v>
      </c>
      <c r="E540" s="84">
        <v>8068</v>
      </c>
    </row>
    <row r="541" spans="1:5" s="85" customFormat="1" ht="12" x14ac:dyDescent="0.2">
      <c r="A541" s="83">
        <f t="shared" si="8"/>
        <v>57004</v>
      </c>
      <c r="B541" s="83">
        <v>57</v>
      </c>
      <c r="C541" s="83" t="s">
        <v>210</v>
      </c>
      <c r="D541" s="83">
        <v>4</v>
      </c>
      <c r="E541" s="84">
        <v>8068</v>
      </c>
    </row>
    <row r="542" spans="1:5" s="85" customFormat="1" ht="12" x14ac:dyDescent="0.2">
      <c r="A542" s="83">
        <f t="shared" si="8"/>
        <v>58001</v>
      </c>
      <c r="B542" s="83">
        <v>58</v>
      </c>
      <c r="C542" s="83" t="s">
        <v>211</v>
      </c>
      <c r="D542" s="83">
        <v>1</v>
      </c>
      <c r="E542" s="84">
        <v>1397</v>
      </c>
    </row>
    <row r="543" spans="1:5" s="85" customFormat="1" ht="12" x14ac:dyDescent="0.2">
      <c r="A543" s="83">
        <f t="shared" si="8"/>
        <v>58002</v>
      </c>
      <c r="B543" s="83">
        <v>58</v>
      </c>
      <c r="C543" s="83" t="s">
        <v>211</v>
      </c>
      <c r="D543" s="83">
        <v>2</v>
      </c>
      <c r="E543" s="84">
        <v>1227</v>
      </c>
    </row>
    <row r="544" spans="1:5" s="85" customFormat="1" ht="12" x14ac:dyDescent="0.2">
      <c r="A544" s="83">
        <f t="shared" si="8"/>
        <v>58003</v>
      </c>
      <c r="B544" s="83">
        <v>58</v>
      </c>
      <c r="C544" s="83" t="s">
        <v>211</v>
      </c>
      <c r="D544" s="83">
        <v>3</v>
      </c>
      <c r="E544" s="84">
        <v>1397</v>
      </c>
    </row>
    <row r="545" spans="1:6" s="85" customFormat="1" ht="12" x14ac:dyDescent="0.2">
      <c r="A545" s="83">
        <f t="shared" si="8"/>
        <v>58004</v>
      </c>
      <c r="B545" s="83">
        <v>58</v>
      </c>
      <c r="C545" s="83" t="s">
        <v>211</v>
      </c>
      <c r="D545" s="83">
        <v>4</v>
      </c>
      <c r="E545" s="84">
        <v>1270</v>
      </c>
    </row>
    <row r="546" spans="1:6" s="85" customFormat="1" ht="12" x14ac:dyDescent="0.2">
      <c r="A546" s="83">
        <f t="shared" si="8"/>
        <v>58005</v>
      </c>
      <c r="B546" s="83">
        <v>58</v>
      </c>
      <c r="C546" s="83" t="s">
        <v>211</v>
      </c>
      <c r="D546" s="83">
        <v>5</v>
      </c>
      <c r="E546" s="84">
        <v>1270</v>
      </c>
    </row>
    <row r="547" spans="1:6" s="85" customFormat="1" ht="12" x14ac:dyDescent="0.2">
      <c r="A547" s="83">
        <f t="shared" si="8"/>
        <v>58006</v>
      </c>
      <c r="B547" s="83">
        <v>58</v>
      </c>
      <c r="C547" s="83" t="s">
        <v>211</v>
      </c>
      <c r="D547" s="83">
        <v>6</v>
      </c>
      <c r="E547" s="84">
        <v>1397</v>
      </c>
    </row>
    <row r="548" spans="1:6" s="85" customFormat="1" ht="12" x14ac:dyDescent="0.2">
      <c r="A548" s="83">
        <f t="shared" si="8"/>
        <v>58007</v>
      </c>
      <c r="B548" s="83">
        <v>58</v>
      </c>
      <c r="C548" s="83" t="s">
        <v>211</v>
      </c>
      <c r="D548" s="83">
        <v>7</v>
      </c>
      <c r="E548" s="84">
        <v>1270</v>
      </c>
      <c r="F548" s="85">
        <f>+E548*0.15</f>
        <v>190.5</v>
      </c>
    </row>
    <row r="549" spans="1:6" s="85" customFormat="1" ht="12" x14ac:dyDescent="0.2">
      <c r="A549" s="83">
        <f t="shared" si="8"/>
        <v>58008</v>
      </c>
      <c r="B549" s="83">
        <v>58</v>
      </c>
      <c r="C549" s="83" t="s">
        <v>211</v>
      </c>
      <c r="D549" s="83">
        <v>8</v>
      </c>
      <c r="E549" s="84">
        <v>1227</v>
      </c>
    </row>
    <row r="550" spans="1:6" s="85" customFormat="1" ht="12" x14ac:dyDescent="0.2">
      <c r="A550" s="83">
        <f t="shared" si="8"/>
        <v>58009</v>
      </c>
      <c r="B550" s="83">
        <v>58</v>
      </c>
      <c r="C550" s="83" t="s">
        <v>211</v>
      </c>
      <c r="D550" s="83">
        <v>9</v>
      </c>
      <c r="E550" s="84">
        <v>1270</v>
      </c>
    </row>
    <row r="551" spans="1:6" s="85" customFormat="1" ht="12" x14ac:dyDescent="0.2">
      <c r="A551" s="83">
        <f t="shared" si="8"/>
        <v>58010</v>
      </c>
      <c r="B551" s="83">
        <v>58</v>
      </c>
      <c r="C551" s="83" t="s">
        <v>211</v>
      </c>
      <c r="D551" s="83">
        <v>10</v>
      </c>
      <c r="E551" s="84">
        <v>1270</v>
      </c>
    </row>
    <row r="552" spans="1:6" s="85" customFormat="1" ht="12" x14ac:dyDescent="0.2">
      <c r="A552" s="83">
        <f t="shared" si="8"/>
        <v>58011</v>
      </c>
      <c r="B552" s="83">
        <v>58</v>
      </c>
      <c r="C552" s="83" t="s">
        <v>211</v>
      </c>
      <c r="D552" s="83">
        <v>11</v>
      </c>
      <c r="E552" s="84">
        <v>1227</v>
      </c>
    </row>
    <row r="553" spans="1:6" s="85" customFormat="1" ht="12" x14ac:dyDescent="0.2">
      <c r="A553" s="83">
        <f t="shared" si="8"/>
        <v>58012</v>
      </c>
      <c r="B553" s="83">
        <v>58</v>
      </c>
      <c r="C553" s="83" t="s">
        <v>211</v>
      </c>
      <c r="D553" s="83">
        <v>12</v>
      </c>
      <c r="E553" s="84">
        <v>1227</v>
      </c>
    </row>
    <row r="554" spans="1:6" s="85" customFormat="1" ht="12" x14ac:dyDescent="0.2">
      <c r="A554" s="83">
        <f t="shared" si="8"/>
        <v>59001</v>
      </c>
      <c r="B554" s="83">
        <v>59</v>
      </c>
      <c r="C554" s="83" t="s">
        <v>212</v>
      </c>
      <c r="D554" s="83">
        <v>1</v>
      </c>
      <c r="E554" s="84">
        <v>3082</v>
      </c>
    </row>
    <row r="555" spans="1:6" s="85" customFormat="1" ht="12" x14ac:dyDescent="0.2">
      <c r="A555" s="83">
        <f t="shared" si="8"/>
        <v>59002</v>
      </c>
      <c r="B555" s="83">
        <v>59</v>
      </c>
      <c r="C555" s="83" t="s">
        <v>212</v>
      </c>
      <c r="D555" s="83">
        <v>2</v>
      </c>
      <c r="E555" s="84">
        <v>3082</v>
      </c>
    </row>
    <row r="556" spans="1:6" s="85" customFormat="1" ht="12" x14ac:dyDescent="0.2">
      <c r="A556" s="83">
        <f t="shared" si="8"/>
        <v>59003</v>
      </c>
      <c r="B556" s="83">
        <v>59</v>
      </c>
      <c r="C556" s="83" t="s">
        <v>212</v>
      </c>
      <c r="D556" s="83">
        <v>3</v>
      </c>
      <c r="E556" s="84">
        <v>3082</v>
      </c>
    </row>
    <row r="557" spans="1:6" s="85" customFormat="1" ht="12" x14ac:dyDescent="0.2">
      <c r="A557" s="83">
        <f t="shared" si="8"/>
        <v>59004</v>
      </c>
      <c r="B557" s="83">
        <v>59</v>
      </c>
      <c r="C557" s="83" t="s">
        <v>212</v>
      </c>
      <c r="D557" s="83">
        <v>4</v>
      </c>
      <c r="E557" s="84">
        <v>3082</v>
      </c>
    </row>
    <row r="558" spans="1:6" s="85" customFormat="1" ht="12" x14ac:dyDescent="0.2">
      <c r="A558" s="83">
        <f t="shared" si="8"/>
        <v>59005</v>
      </c>
      <c r="B558" s="83">
        <v>59</v>
      </c>
      <c r="C558" s="83" t="s">
        <v>212</v>
      </c>
      <c r="D558" s="83">
        <v>5</v>
      </c>
      <c r="E558" s="84">
        <v>3082</v>
      </c>
    </row>
    <row r="559" spans="1:6" s="85" customFormat="1" ht="12" x14ac:dyDescent="0.2">
      <c r="A559" s="83">
        <f t="shared" si="8"/>
        <v>59006</v>
      </c>
      <c r="B559" s="83">
        <v>59</v>
      </c>
      <c r="C559" s="83" t="s">
        <v>212</v>
      </c>
      <c r="D559" s="83">
        <v>6</v>
      </c>
      <c r="E559" s="84">
        <v>3082</v>
      </c>
    </row>
    <row r="560" spans="1:6" s="85" customFormat="1" ht="12" x14ac:dyDescent="0.2">
      <c r="A560" s="83">
        <f t="shared" si="8"/>
        <v>59007</v>
      </c>
      <c r="B560" s="83">
        <v>59</v>
      </c>
      <c r="C560" s="83" t="s">
        <v>212</v>
      </c>
      <c r="D560" s="83">
        <v>7</v>
      </c>
      <c r="E560" s="84">
        <v>3082</v>
      </c>
    </row>
    <row r="561" spans="1:5" s="85" customFormat="1" ht="12" x14ac:dyDescent="0.2">
      <c r="A561" s="83">
        <f t="shared" si="8"/>
        <v>59008</v>
      </c>
      <c r="B561" s="83">
        <v>59</v>
      </c>
      <c r="C561" s="83" t="s">
        <v>212</v>
      </c>
      <c r="D561" s="83">
        <v>8</v>
      </c>
      <c r="E561" s="84">
        <v>3082</v>
      </c>
    </row>
    <row r="562" spans="1:5" s="85" customFormat="1" ht="12" x14ac:dyDescent="0.2">
      <c r="A562" s="83">
        <f t="shared" si="8"/>
        <v>59009</v>
      </c>
      <c r="B562" s="83">
        <v>59</v>
      </c>
      <c r="C562" s="83" t="s">
        <v>212</v>
      </c>
      <c r="D562" s="83">
        <v>9</v>
      </c>
      <c r="E562" s="84">
        <v>3082</v>
      </c>
    </row>
    <row r="563" spans="1:5" s="85" customFormat="1" ht="12" x14ac:dyDescent="0.2">
      <c r="A563" s="83">
        <f t="shared" si="8"/>
        <v>59010</v>
      </c>
      <c r="B563" s="83">
        <v>59</v>
      </c>
      <c r="C563" s="83" t="s">
        <v>212</v>
      </c>
      <c r="D563" s="83">
        <v>10</v>
      </c>
      <c r="E563" s="84">
        <v>3082</v>
      </c>
    </row>
    <row r="564" spans="1:5" s="85" customFormat="1" ht="12" x14ac:dyDescent="0.2">
      <c r="A564" s="83">
        <f t="shared" si="8"/>
        <v>59011</v>
      </c>
      <c r="B564" s="83">
        <v>59</v>
      </c>
      <c r="C564" s="83" t="s">
        <v>212</v>
      </c>
      <c r="D564" s="83">
        <v>11</v>
      </c>
      <c r="E564" s="84">
        <v>3082</v>
      </c>
    </row>
    <row r="565" spans="1:5" s="85" customFormat="1" ht="12" x14ac:dyDescent="0.2">
      <c r="A565" s="83">
        <f t="shared" si="8"/>
        <v>59012</v>
      </c>
      <c r="B565" s="83">
        <v>59</v>
      </c>
      <c r="C565" s="83" t="s">
        <v>212</v>
      </c>
      <c r="D565" s="83">
        <v>12</v>
      </c>
      <c r="E565" s="84">
        <v>3082</v>
      </c>
    </row>
    <row r="566" spans="1:5" s="85" customFormat="1" ht="12" x14ac:dyDescent="0.2">
      <c r="A566" s="83">
        <f t="shared" si="8"/>
        <v>59013</v>
      </c>
      <c r="B566" s="83">
        <v>59</v>
      </c>
      <c r="C566" s="83" t="s">
        <v>212</v>
      </c>
      <c r="D566" s="83">
        <v>13</v>
      </c>
      <c r="E566" s="84">
        <v>3082</v>
      </c>
    </row>
    <row r="567" spans="1:5" s="85" customFormat="1" ht="12" x14ac:dyDescent="0.2">
      <c r="A567" s="83">
        <f t="shared" si="8"/>
        <v>60001</v>
      </c>
      <c r="B567" s="83">
        <v>60</v>
      </c>
      <c r="C567" s="83" t="s">
        <v>213</v>
      </c>
      <c r="D567" s="83">
        <v>1</v>
      </c>
      <c r="E567" s="84">
        <v>2732</v>
      </c>
    </row>
    <row r="568" spans="1:5" s="85" customFormat="1" ht="12" x14ac:dyDescent="0.2">
      <c r="A568" s="83">
        <f t="shared" si="8"/>
        <v>60002</v>
      </c>
      <c r="B568" s="83">
        <v>60</v>
      </c>
      <c r="C568" s="83" t="s">
        <v>213</v>
      </c>
      <c r="D568" s="83">
        <v>2</v>
      </c>
      <c r="E568" s="84">
        <v>2732</v>
      </c>
    </row>
    <row r="569" spans="1:5" s="85" customFormat="1" ht="12" x14ac:dyDescent="0.2">
      <c r="A569" s="83">
        <f t="shared" si="8"/>
        <v>60003</v>
      </c>
      <c r="B569" s="83">
        <v>60</v>
      </c>
      <c r="C569" s="83" t="s">
        <v>213</v>
      </c>
      <c r="D569" s="83">
        <v>3</v>
      </c>
      <c r="E569" s="84">
        <v>2641</v>
      </c>
    </row>
    <row r="570" spans="1:5" s="85" customFormat="1" ht="12" x14ac:dyDescent="0.2">
      <c r="A570" s="83">
        <f t="shared" si="8"/>
        <v>60004</v>
      </c>
      <c r="B570" s="83">
        <v>60</v>
      </c>
      <c r="C570" s="83" t="s">
        <v>213</v>
      </c>
      <c r="D570" s="83">
        <v>4</v>
      </c>
      <c r="E570" s="84">
        <v>2003</v>
      </c>
    </row>
    <row r="571" spans="1:5" s="85" customFormat="1" ht="12" x14ac:dyDescent="0.2">
      <c r="A571" s="83">
        <f t="shared" si="8"/>
        <v>60005</v>
      </c>
      <c r="B571" s="83">
        <v>60</v>
      </c>
      <c r="C571" s="83" t="s">
        <v>213</v>
      </c>
      <c r="D571" s="83">
        <v>5</v>
      </c>
      <c r="E571" s="84">
        <v>2641</v>
      </c>
    </row>
    <row r="572" spans="1:5" s="85" customFormat="1" ht="12" x14ac:dyDescent="0.2">
      <c r="A572" s="83">
        <f t="shared" si="8"/>
        <v>60006</v>
      </c>
      <c r="B572" s="83">
        <v>60</v>
      </c>
      <c r="C572" s="83" t="s">
        <v>213</v>
      </c>
      <c r="D572" s="83">
        <v>6</v>
      </c>
      <c r="E572" s="84">
        <v>2641</v>
      </c>
    </row>
    <row r="573" spans="1:5" s="85" customFormat="1" ht="12" x14ac:dyDescent="0.2">
      <c r="A573" s="83">
        <f t="shared" si="8"/>
        <v>60007</v>
      </c>
      <c r="B573" s="83">
        <v>60</v>
      </c>
      <c r="C573" s="83" t="s">
        <v>213</v>
      </c>
      <c r="D573" s="83">
        <v>7</v>
      </c>
      <c r="E573" s="84">
        <v>2641</v>
      </c>
    </row>
    <row r="574" spans="1:5" s="85" customFormat="1" ht="12" x14ac:dyDescent="0.2">
      <c r="A574" s="83">
        <f t="shared" si="8"/>
        <v>60008</v>
      </c>
      <c r="B574" s="83">
        <v>60</v>
      </c>
      <c r="C574" s="83" t="s">
        <v>213</v>
      </c>
      <c r="D574" s="83">
        <v>8</v>
      </c>
      <c r="E574" s="84">
        <v>2368</v>
      </c>
    </row>
    <row r="575" spans="1:5" s="85" customFormat="1" ht="12" x14ac:dyDescent="0.2">
      <c r="A575" s="83">
        <f t="shared" si="8"/>
        <v>60009</v>
      </c>
      <c r="B575" s="83">
        <v>60</v>
      </c>
      <c r="C575" s="83" t="s">
        <v>213</v>
      </c>
      <c r="D575" s="83">
        <v>9</v>
      </c>
      <c r="E575" s="84">
        <v>2641</v>
      </c>
    </row>
    <row r="576" spans="1:5" s="85" customFormat="1" ht="12" x14ac:dyDescent="0.2">
      <c r="A576" s="83">
        <f t="shared" si="8"/>
        <v>60010</v>
      </c>
      <c r="B576" s="83">
        <v>60</v>
      </c>
      <c r="C576" s="83" t="s">
        <v>213</v>
      </c>
      <c r="D576" s="83">
        <v>10</v>
      </c>
      <c r="E576" s="84">
        <v>2368</v>
      </c>
    </row>
    <row r="577" spans="1:5" s="85" customFormat="1" ht="12" x14ac:dyDescent="0.2">
      <c r="A577" s="83">
        <f t="shared" si="8"/>
        <v>60011</v>
      </c>
      <c r="B577" s="83">
        <v>60</v>
      </c>
      <c r="C577" s="83" t="s">
        <v>213</v>
      </c>
      <c r="D577" s="83">
        <v>11</v>
      </c>
      <c r="E577" s="84">
        <v>2368</v>
      </c>
    </row>
    <row r="578" spans="1:5" s="85" customFormat="1" ht="12" x14ac:dyDescent="0.2">
      <c r="A578" s="83">
        <f t="shared" si="8"/>
        <v>60012</v>
      </c>
      <c r="B578" s="83">
        <v>60</v>
      </c>
      <c r="C578" s="83" t="s">
        <v>213</v>
      </c>
      <c r="D578" s="83">
        <v>12</v>
      </c>
      <c r="E578" s="84">
        <v>2368</v>
      </c>
    </row>
    <row r="579" spans="1:5" s="85" customFormat="1" ht="12" x14ac:dyDescent="0.2">
      <c r="A579" s="83">
        <f t="shared" ref="A579:A642" si="9">+B579*1000+D579</f>
        <v>60014</v>
      </c>
      <c r="B579" s="83">
        <v>60</v>
      </c>
      <c r="C579" s="83" t="s">
        <v>213</v>
      </c>
      <c r="D579" s="83">
        <v>14</v>
      </c>
      <c r="E579" s="84">
        <v>2368</v>
      </c>
    </row>
    <row r="580" spans="1:5" s="85" customFormat="1" ht="12" x14ac:dyDescent="0.2">
      <c r="A580" s="83">
        <f t="shared" si="9"/>
        <v>60015</v>
      </c>
      <c r="B580" s="83">
        <v>60</v>
      </c>
      <c r="C580" s="83" t="s">
        <v>213</v>
      </c>
      <c r="D580" s="83">
        <v>15</v>
      </c>
      <c r="E580" s="84">
        <v>2550</v>
      </c>
    </row>
    <row r="581" spans="1:5" s="85" customFormat="1" ht="12" x14ac:dyDescent="0.2">
      <c r="A581" s="83">
        <f t="shared" si="9"/>
        <v>61001</v>
      </c>
      <c r="B581" s="83">
        <v>61</v>
      </c>
      <c r="C581" s="83" t="s">
        <v>214</v>
      </c>
      <c r="D581" s="83">
        <v>1</v>
      </c>
      <c r="E581" s="84">
        <v>3110</v>
      </c>
    </row>
    <row r="582" spans="1:5" s="85" customFormat="1" ht="12" x14ac:dyDescent="0.2">
      <c r="A582" s="83">
        <f t="shared" si="9"/>
        <v>61002</v>
      </c>
      <c r="B582" s="83">
        <v>61</v>
      </c>
      <c r="C582" s="83" t="s">
        <v>214</v>
      </c>
      <c r="D582" s="83">
        <v>2</v>
      </c>
      <c r="E582" s="84">
        <v>2577</v>
      </c>
    </row>
    <row r="583" spans="1:5" s="85" customFormat="1" ht="12" x14ac:dyDescent="0.2">
      <c r="A583" s="83">
        <f t="shared" si="9"/>
        <v>61003</v>
      </c>
      <c r="B583" s="83">
        <v>61</v>
      </c>
      <c r="C583" s="83" t="s">
        <v>214</v>
      </c>
      <c r="D583" s="83">
        <v>3</v>
      </c>
      <c r="E583" s="84">
        <v>2577</v>
      </c>
    </row>
    <row r="584" spans="1:5" s="85" customFormat="1" ht="12" x14ac:dyDescent="0.2">
      <c r="A584" s="83">
        <f t="shared" si="9"/>
        <v>61004</v>
      </c>
      <c r="B584" s="83">
        <v>61</v>
      </c>
      <c r="C584" s="83" t="s">
        <v>214</v>
      </c>
      <c r="D584" s="83">
        <v>4</v>
      </c>
      <c r="E584" s="84">
        <v>3021</v>
      </c>
    </row>
    <row r="585" spans="1:5" s="85" customFormat="1" ht="12" x14ac:dyDescent="0.2">
      <c r="A585" s="83">
        <f t="shared" si="9"/>
        <v>61005</v>
      </c>
      <c r="B585" s="83">
        <v>61</v>
      </c>
      <c r="C585" s="83" t="s">
        <v>214</v>
      </c>
      <c r="D585" s="83">
        <v>5</v>
      </c>
      <c r="E585" s="84">
        <v>2666</v>
      </c>
    </row>
    <row r="586" spans="1:5" s="85" customFormat="1" ht="12" x14ac:dyDescent="0.2">
      <c r="A586" s="83">
        <f t="shared" si="9"/>
        <v>61006</v>
      </c>
      <c r="B586" s="83">
        <v>61</v>
      </c>
      <c r="C586" s="83" t="s">
        <v>214</v>
      </c>
      <c r="D586" s="83">
        <v>6</v>
      </c>
      <c r="E586" s="84">
        <v>2488</v>
      </c>
    </row>
    <row r="587" spans="1:5" s="85" customFormat="1" ht="12" x14ac:dyDescent="0.2">
      <c r="A587" s="83">
        <f t="shared" si="9"/>
        <v>61007</v>
      </c>
      <c r="B587" s="83">
        <v>61</v>
      </c>
      <c r="C587" s="83" t="s">
        <v>214</v>
      </c>
      <c r="D587" s="83">
        <v>7</v>
      </c>
      <c r="E587" s="84">
        <v>2666</v>
      </c>
    </row>
    <row r="588" spans="1:5" s="85" customFormat="1" ht="12" x14ac:dyDescent="0.2">
      <c r="A588" s="83">
        <f t="shared" si="9"/>
        <v>61008</v>
      </c>
      <c r="B588" s="83">
        <v>61</v>
      </c>
      <c r="C588" s="83" t="s">
        <v>214</v>
      </c>
      <c r="D588" s="83">
        <v>8</v>
      </c>
      <c r="E588" s="84">
        <v>2488</v>
      </c>
    </row>
    <row r="589" spans="1:5" s="85" customFormat="1" ht="12" x14ac:dyDescent="0.2">
      <c r="A589" s="83">
        <f t="shared" si="9"/>
        <v>61009</v>
      </c>
      <c r="B589" s="83">
        <v>61</v>
      </c>
      <c r="C589" s="83" t="s">
        <v>214</v>
      </c>
      <c r="D589" s="83">
        <v>9</v>
      </c>
      <c r="E589" s="84">
        <v>2666</v>
      </c>
    </row>
    <row r="590" spans="1:5" s="85" customFormat="1" ht="12" x14ac:dyDescent="0.2">
      <c r="A590" s="83">
        <f t="shared" si="9"/>
        <v>61010</v>
      </c>
      <c r="B590" s="83">
        <v>61</v>
      </c>
      <c r="C590" s="83" t="s">
        <v>214</v>
      </c>
      <c r="D590" s="83">
        <v>10</v>
      </c>
      <c r="E590" s="84">
        <v>2577</v>
      </c>
    </row>
    <row r="591" spans="1:5" s="85" customFormat="1" ht="12" x14ac:dyDescent="0.2">
      <c r="A591" s="83">
        <f t="shared" si="9"/>
        <v>61011</v>
      </c>
      <c r="B591" s="83">
        <v>61</v>
      </c>
      <c r="C591" s="83" t="s">
        <v>214</v>
      </c>
      <c r="D591" s="83">
        <v>11</v>
      </c>
      <c r="E591" s="84">
        <v>2577</v>
      </c>
    </row>
    <row r="592" spans="1:5" s="85" customFormat="1" ht="12" x14ac:dyDescent="0.2">
      <c r="A592" s="83">
        <f t="shared" si="9"/>
        <v>61012</v>
      </c>
      <c r="B592" s="83">
        <v>61</v>
      </c>
      <c r="C592" s="83" t="s">
        <v>214</v>
      </c>
      <c r="D592" s="83">
        <v>12</v>
      </c>
      <c r="E592" s="84">
        <v>2577</v>
      </c>
    </row>
    <row r="593" spans="1:5" s="85" customFormat="1" ht="12" x14ac:dyDescent="0.2">
      <c r="A593" s="83">
        <f t="shared" si="9"/>
        <v>61013</v>
      </c>
      <c r="B593" s="83">
        <v>61</v>
      </c>
      <c r="C593" s="83" t="s">
        <v>214</v>
      </c>
      <c r="D593" s="83">
        <v>13</v>
      </c>
      <c r="E593" s="84">
        <v>3110</v>
      </c>
    </row>
    <row r="594" spans="1:5" s="85" customFormat="1" ht="12" x14ac:dyDescent="0.2">
      <c r="A594" s="83">
        <f t="shared" si="9"/>
        <v>62001</v>
      </c>
      <c r="B594" s="83">
        <v>62</v>
      </c>
      <c r="C594" s="83" t="s">
        <v>215</v>
      </c>
      <c r="D594" s="83">
        <v>1</v>
      </c>
      <c r="E594" s="84">
        <v>2438</v>
      </c>
    </row>
    <row r="595" spans="1:5" s="85" customFormat="1" ht="12" x14ac:dyDescent="0.2">
      <c r="A595" s="83">
        <f t="shared" si="9"/>
        <v>62002</v>
      </c>
      <c r="B595" s="83">
        <v>62</v>
      </c>
      <c r="C595" s="83" t="s">
        <v>215</v>
      </c>
      <c r="D595" s="83">
        <v>2</v>
      </c>
      <c r="E595" s="84">
        <v>2299</v>
      </c>
    </row>
    <row r="596" spans="1:5" s="85" customFormat="1" ht="12" x14ac:dyDescent="0.2">
      <c r="A596" s="83">
        <f t="shared" si="9"/>
        <v>62003</v>
      </c>
      <c r="B596" s="83">
        <v>62</v>
      </c>
      <c r="C596" s="83" t="s">
        <v>215</v>
      </c>
      <c r="D596" s="83">
        <v>3</v>
      </c>
      <c r="E596" s="84">
        <v>2090</v>
      </c>
    </row>
    <row r="597" spans="1:5" s="85" customFormat="1" ht="12" x14ac:dyDescent="0.2">
      <c r="A597" s="83">
        <f t="shared" si="9"/>
        <v>62004</v>
      </c>
      <c r="B597" s="83">
        <v>62</v>
      </c>
      <c r="C597" s="83" t="s">
        <v>215</v>
      </c>
      <c r="D597" s="83">
        <v>4</v>
      </c>
      <c r="E597" s="84">
        <v>2090</v>
      </c>
    </row>
    <row r="598" spans="1:5" s="85" customFormat="1" ht="12" x14ac:dyDescent="0.2">
      <c r="A598" s="83">
        <f t="shared" si="9"/>
        <v>62005</v>
      </c>
      <c r="B598" s="83">
        <v>62</v>
      </c>
      <c r="C598" s="83" t="s">
        <v>215</v>
      </c>
      <c r="D598" s="83">
        <v>5</v>
      </c>
      <c r="E598" s="84">
        <v>2090</v>
      </c>
    </row>
    <row r="599" spans="1:5" s="85" customFormat="1" ht="12" x14ac:dyDescent="0.2">
      <c r="A599" s="83">
        <f t="shared" si="9"/>
        <v>62006</v>
      </c>
      <c r="B599" s="83">
        <v>62</v>
      </c>
      <c r="C599" s="83" t="s">
        <v>215</v>
      </c>
      <c r="D599" s="83">
        <v>6</v>
      </c>
      <c r="E599" s="84">
        <v>2438</v>
      </c>
    </row>
    <row r="600" spans="1:5" s="85" customFormat="1" ht="12" x14ac:dyDescent="0.2">
      <c r="A600" s="83">
        <f t="shared" si="9"/>
        <v>62007</v>
      </c>
      <c r="B600" s="83">
        <v>62</v>
      </c>
      <c r="C600" s="83" t="s">
        <v>215</v>
      </c>
      <c r="D600" s="83">
        <v>7</v>
      </c>
      <c r="E600" s="84">
        <v>2438</v>
      </c>
    </row>
    <row r="601" spans="1:5" s="85" customFormat="1" ht="12" x14ac:dyDescent="0.2">
      <c r="A601" s="83">
        <f t="shared" si="9"/>
        <v>62008</v>
      </c>
      <c r="B601" s="83">
        <v>62</v>
      </c>
      <c r="C601" s="83" t="s">
        <v>215</v>
      </c>
      <c r="D601" s="83">
        <v>8</v>
      </c>
      <c r="E601" s="84">
        <v>2299</v>
      </c>
    </row>
    <row r="602" spans="1:5" s="85" customFormat="1" ht="12" x14ac:dyDescent="0.2">
      <c r="A602" s="83">
        <f t="shared" si="9"/>
        <v>62009</v>
      </c>
      <c r="B602" s="83">
        <v>62</v>
      </c>
      <c r="C602" s="83" t="s">
        <v>215</v>
      </c>
      <c r="D602" s="83">
        <v>9</v>
      </c>
      <c r="E602" s="84">
        <v>2299</v>
      </c>
    </row>
    <row r="603" spans="1:5" s="85" customFormat="1" ht="12" x14ac:dyDescent="0.2">
      <c r="A603" s="83">
        <f t="shared" si="9"/>
        <v>62010</v>
      </c>
      <c r="B603" s="83">
        <v>62</v>
      </c>
      <c r="C603" s="83" t="s">
        <v>215</v>
      </c>
      <c r="D603" s="83">
        <v>10</v>
      </c>
      <c r="E603" s="84">
        <v>2090</v>
      </c>
    </row>
    <row r="604" spans="1:5" s="85" customFormat="1" ht="12" x14ac:dyDescent="0.2">
      <c r="A604" s="83">
        <f t="shared" si="9"/>
        <v>64001</v>
      </c>
      <c r="B604" s="83">
        <v>64</v>
      </c>
      <c r="C604" s="83" t="s">
        <v>216</v>
      </c>
      <c r="D604" s="83">
        <v>1</v>
      </c>
      <c r="E604" s="84">
        <v>3436</v>
      </c>
    </row>
    <row r="605" spans="1:5" s="85" customFormat="1" ht="12" x14ac:dyDescent="0.2">
      <c r="A605" s="83">
        <f t="shared" si="9"/>
        <v>64002</v>
      </c>
      <c r="B605" s="83">
        <v>64</v>
      </c>
      <c r="C605" s="83" t="s">
        <v>216</v>
      </c>
      <c r="D605" s="83">
        <v>2</v>
      </c>
      <c r="E605" s="84">
        <v>3436</v>
      </c>
    </row>
    <row r="606" spans="1:5" s="85" customFormat="1" ht="12" x14ac:dyDescent="0.2">
      <c r="A606" s="83">
        <f t="shared" si="9"/>
        <v>64003</v>
      </c>
      <c r="B606" s="83">
        <v>64</v>
      </c>
      <c r="C606" s="83" t="s">
        <v>216</v>
      </c>
      <c r="D606" s="83">
        <v>3</v>
      </c>
      <c r="E606" s="84">
        <v>3436</v>
      </c>
    </row>
    <row r="607" spans="1:5" s="85" customFormat="1" ht="12" x14ac:dyDescent="0.2">
      <c r="A607" s="83">
        <f t="shared" si="9"/>
        <v>64004</v>
      </c>
      <c r="B607" s="83">
        <v>64</v>
      </c>
      <c r="C607" s="83" t="s">
        <v>216</v>
      </c>
      <c r="D607" s="83">
        <v>4</v>
      </c>
      <c r="E607" s="84">
        <v>3436</v>
      </c>
    </row>
    <row r="608" spans="1:5" s="85" customFormat="1" ht="12" x14ac:dyDescent="0.2">
      <c r="A608" s="83">
        <f t="shared" si="9"/>
        <v>64005</v>
      </c>
      <c r="B608" s="83">
        <v>64</v>
      </c>
      <c r="C608" s="83" t="s">
        <v>216</v>
      </c>
      <c r="D608" s="83">
        <v>5</v>
      </c>
      <c r="E608" s="84">
        <v>3436</v>
      </c>
    </row>
    <row r="609" spans="1:5" s="85" customFormat="1" ht="12" x14ac:dyDescent="0.2">
      <c r="A609" s="83">
        <f t="shared" si="9"/>
        <v>64006</v>
      </c>
      <c r="B609" s="83">
        <v>64</v>
      </c>
      <c r="C609" s="83" t="s">
        <v>216</v>
      </c>
      <c r="D609" s="83">
        <v>6</v>
      </c>
      <c r="E609" s="84">
        <v>3436</v>
      </c>
    </row>
    <row r="610" spans="1:5" s="85" customFormat="1" ht="12" x14ac:dyDescent="0.2">
      <c r="A610" s="83">
        <f t="shared" si="9"/>
        <v>64007</v>
      </c>
      <c r="B610" s="83">
        <v>64</v>
      </c>
      <c r="C610" s="83" t="s">
        <v>216</v>
      </c>
      <c r="D610" s="83">
        <v>7</v>
      </c>
      <c r="E610" s="84">
        <v>3436</v>
      </c>
    </row>
    <row r="611" spans="1:5" s="85" customFormat="1" ht="12" x14ac:dyDescent="0.2">
      <c r="A611" s="83">
        <f t="shared" si="9"/>
        <v>64008</v>
      </c>
      <c r="B611" s="83">
        <v>64</v>
      </c>
      <c r="C611" s="83" t="s">
        <v>216</v>
      </c>
      <c r="D611" s="83">
        <v>8</v>
      </c>
      <c r="E611" s="84">
        <v>3436</v>
      </c>
    </row>
    <row r="612" spans="1:5" s="85" customFormat="1" ht="12" x14ac:dyDescent="0.2">
      <c r="A612" s="83">
        <f t="shared" si="9"/>
        <v>64009</v>
      </c>
      <c r="B612" s="83">
        <v>64</v>
      </c>
      <c r="C612" s="83" t="s">
        <v>216</v>
      </c>
      <c r="D612" s="83">
        <v>9</v>
      </c>
      <c r="E612" s="84">
        <v>3436</v>
      </c>
    </row>
    <row r="613" spans="1:5" s="85" customFormat="1" ht="12" x14ac:dyDescent="0.2">
      <c r="A613" s="83">
        <f t="shared" si="9"/>
        <v>65001</v>
      </c>
      <c r="B613" s="83">
        <v>65</v>
      </c>
      <c r="C613" s="83" t="s">
        <v>217</v>
      </c>
      <c r="D613" s="83">
        <v>1</v>
      </c>
      <c r="E613" s="84">
        <v>1764</v>
      </c>
    </row>
    <row r="614" spans="1:5" s="85" customFormat="1" ht="12" x14ac:dyDescent="0.2">
      <c r="A614" s="83">
        <f t="shared" si="9"/>
        <v>65002</v>
      </c>
      <c r="B614" s="83">
        <v>65</v>
      </c>
      <c r="C614" s="83" t="s">
        <v>217</v>
      </c>
      <c r="D614" s="83">
        <v>2</v>
      </c>
      <c r="E614" s="84">
        <v>1764</v>
      </c>
    </row>
    <row r="615" spans="1:5" s="85" customFormat="1" ht="12" x14ac:dyDescent="0.2">
      <c r="A615" s="83">
        <f t="shared" si="9"/>
        <v>65003</v>
      </c>
      <c r="B615" s="83">
        <v>65</v>
      </c>
      <c r="C615" s="83" t="s">
        <v>217</v>
      </c>
      <c r="D615" s="83">
        <v>3</v>
      </c>
      <c r="E615" s="84">
        <v>1764</v>
      </c>
    </row>
    <row r="616" spans="1:5" s="85" customFormat="1" ht="12" x14ac:dyDescent="0.2">
      <c r="A616" s="83">
        <f t="shared" si="9"/>
        <v>65004</v>
      </c>
      <c r="B616" s="83">
        <v>65</v>
      </c>
      <c r="C616" s="83" t="s">
        <v>217</v>
      </c>
      <c r="D616" s="83">
        <v>4</v>
      </c>
      <c r="E616" s="84">
        <v>1764</v>
      </c>
    </row>
    <row r="617" spans="1:5" s="85" customFormat="1" ht="12" x14ac:dyDescent="0.2">
      <c r="A617" s="83">
        <f t="shared" si="9"/>
        <v>65005</v>
      </c>
      <c r="B617" s="83">
        <v>65</v>
      </c>
      <c r="C617" s="83" t="s">
        <v>217</v>
      </c>
      <c r="D617" s="83">
        <v>5</v>
      </c>
      <c r="E617" s="84">
        <v>1764</v>
      </c>
    </row>
    <row r="618" spans="1:5" s="85" customFormat="1" ht="12" x14ac:dyDescent="0.2">
      <c r="A618" s="83">
        <f t="shared" si="9"/>
        <v>65006</v>
      </c>
      <c r="B618" s="83">
        <v>65</v>
      </c>
      <c r="C618" s="83" t="s">
        <v>217</v>
      </c>
      <c r="D618" s="83">
        <v>6</v>
      </c>
      <c r="E618" s="84">
        <v>1764</v>
      </c>
    </row>
    <row r="619" spans="1:5" s="85" customFormat="1" ht="12" x14ac:dyDescent="0.2">
      <c r="A619" s="83">
        <f t="shared" si="9"/>
        <v>66001</v>
      </c>
      <c r="B619" s="83">
        <v>66</v>
      </c>
      <c r="C619" s="83" t="s">
        <v>218</v>
      </c>
      <c r="D619" s="83">
        <v>1</v>
      </c>
      <c r="E619" s="84">
        <v>1476</v>
      </c>
    </row>
    <row r="620" spans="1:5" s="85" customFormat="1" ht="12" x14ac:dyDescent="0.2">
      <c r="A620" s="83">
        <f t="shared" si="9"/>
        <v>66002</v>
      </c>
      <c r="B620" s="83">
        <v>66</v>
      </c>
      <c r="C620" s="83" t="s">
        <v>218</v>
      </c>
      <c r="D620" s="83">
        <v>2</v>
      </c>
      <c r="E620" s="84">
        <v>1590</v>
      </c>
    </row>
    <row r="621" spans="1:5" s="85" customFormat="1" ht="12" x14ac:dyDescent="0.2">
      <c r="A621" s="83">
        <f t="shared" si="9"/>
        <v>66003</v>
      </c>
      <c r="B621" s="83">
        <v>66</v>
      </c>
      <c r="C621" s="83" t="s">
        <v>218</v>
      </c>
      <c r="D621" s="83">
        <v>3</v>
      </c>
      <c r="E621" s="84">
        <v>1476</v>
      </c>
    </row>
    <row r="622" spans="1:5" s="85" customFormat="1" ht="12" x14ac:dyDescent="0.2">
      <c r="A622" s="83">
        <f t="shared" si="9"/>
        <v>66004</v>
      </c>
      <c r="B622" s="83">
        <v>66</v>
      </c>
      <c r="C622" s="83" t="s">
        <v>218</v>
      </c>
      <c r="D622" s="83">
        <v>4</v>
      </c>
      <c r="E622" s="84">
        <v>1476</v>
      </c>
    </row>
    <row r="623" spans="1:5" s="85" customFormat="1" ht="12" x14ac:dyDescent="0.2">
      <c r="A623" s="83">
        <f t="shared" si="9"/>
        <v>66005</v>
      </c>
      <c r="B623" s="83">
        <v>66</v>
      </c>
      <c r="C623" s="83" t="s">
        <v>218</v>
      </c>
      <c r="D623" s="83">
        <v>5</v>
      </c>
      <c r="E623" s="84">
        <v>1476</v>
      </c>
    </row>
    <row r="624" spans="1:5" s="85" customFormat="1" ht="12" x14ac:dyDescent="0.2">
      <c r="A624" s="83">
        <f t="shared" si="9"/>
        <v>66006</v>
      </c>
      <c r="B624" s="83">
        <v>66</v>
      </c>
      <c r="C624" s="83" t="s">
        <v>218</v>
      </c>
      <c r="D624" s="83">
        <v>6</v>
      </c>
      <c r="E624" s="84">
        <v>1476</v>
      </c>
    </row>
    <row r="625" spans="1:5" s="85" customFormat="1" ht="12" x14ac:dyDescent="0.2">
      <c r="A625" s="83">
        <f t="shared" si="9"/>
        <v>66007</v>
      </c>
      <c r="B625" s="83">
        <v>66</v>
      </c>
      <c r="C625" s="83" t="s">
        <v>218</v>
      </c>
      <c r="D625" s="83">
        <v>7</v>
      </c>
      <c r="E625" s="84">
        <v>1476</v>
      </c>
    </row>
    <row r="626" spans="1:5" s="85" customFormat="1" ht="12" x14ac:dyDescent="0.2">
      <c r="A626" s="83">
        <f t="shared" si="9"/>
        <v>66008</v>
      </c>
      <c r="B626" s="83">
        <v>66</v>
      </c>
      <c r="C626" s="83" t="s">
        <v>218</v>
      </c>
      <c r="D626" s="83">
        <v>8</v>
      </c>
      <c r="E626" s="84">
        <v>1476</v>
      </c>
    </row>
    <row r="627" spans="1:5" s="85" customFormat="1" ht="12" x14ac:dyDescent="0.2">
      <c r="A627" s="83">
        <f t="shared" si="9"/>
        <v>67002</v>
      </c>
      <c r="B627" s="83">
        <v>67</v>
      </c>
      <c r="C627" s="83" t="s">
        <v>219</v>
      </c>
      <c r="D627" s="83">
        <v>2</v>
      </c>
      <c r="E627" s="84">
        <v>4572</v>
      </c>
    </row>
    <row r="628" spans="1:5" s="85" customFormat="1" ht="12" x14ac:dyDescent="0.2">
      <c r="A628" s="83">
        <f t="shared" si="9"/>
        <v>67003</v>
      </c>
      <c r="B628" s="83">
        <v>67</v>
      </c>
      <c r="C628" s="83" t="s">
        <v>219</v>
      </c>
      <c r="D628" s="83">
        <v>3</v>
      </c>
      <c r="E628" s="84">
        <v>4572</v>
      </c>
    </row>
    <row r="629" spans="1:5" s="85" customFormat="1" ht="12" x14ac:dyDescent="0.2">
      <c r="A629" s="83">
        <f t="shared" si="9"/>
        <v>67004</v>
      </c>
      <c r="B629" s="83">
        <v>67</v>
      </c>
      <c r="C629" s="83" t="s">
        <v>219</v>
      </c>
      <c r="D629" s="83">
        <v>4</v>
      </c>
      <c r="E629" s="84">
        <v>4572</v>
      </c>
    </row>
    <row r="630" spans="1:5" s="85" customFormat="1" ht="12" x14ac:dyDescent="0.2">
      <c r="A630" s="83">
        <f t="shared" si="9"/>
        <v>67005</v>
      </c>
      <c r="B630" s="83">
        <v>67</v>
      </c>
      <c r="C630" s="83" t="s">
        <v>219</v>
      </c>
      <c r="D630" s="83">
        <v>5</v>
      </c>
      <c r="E630" s="84">
        <v>4572</v>
      </c>
    </row>
    <row r="631" spans="1:5" s="85" customFormat="1" ht="12" x14ac:dyDescent="0.2">
      <c r="A631" s="83">
        <f t="shared" si="9"/>
        <v>67006</v>
      </c>
      <c r="B631" s="83">
        <v>67</v>
      </c>
      <c r="C631" s="83" t="s">
        <v>219</v>
      </c>
      <c r="D631" s="83">
        <v>6</v>
      </c>
      <c r="E631" s="84">
        <v>4572</v>
      </c>
    </row>
    <row r="632" spans="1:5" s="85" customFormat="1" ht="12" x14ac:dyDescent="0.2">
      <c r="A632" s="83">
        <f t="shared" si="9"/>
        <v>67007</v>
      </c>
      <c r="B632" s="83">
        <v>67</v>
      </c>
      <c r="C632" s="83" t="s">
        <v>219</v>
      </c>
      <c r="D632" s="83">
        <v>7</v>
      </c>
      <c r="E632" s="84">
        <v>4572</v>
      </c>
    </row>
    <row r="633" spans="1:5" s="85" customFormat="1" ht="12" x14ac:dyDescent="0.2">
      <c r="A633" s="83">
        <f t="shared" si="9"/>
        <v>67008</v>
      </c>
      <c r="B633" s="83">
        <v>67</v>
      </c>
      <c r="C633" s="83" t="s">
        <v>219</v>
      </c>
      <c r="D633" s="83">
        <v>8</v>
      </c>
      <c r="E633" s="84">
        <v>4572</v>
      </c>
    </row>
    <row r="634" spans="1:5" s="85" customFormat="1" ht="12" x14ac:dyDescent="0.2">
      <c r="A634" s="83">
        <f t="shared" si="9"/>
        <v>67009</v>
      </c>
      <c r="B634" s="83">
        <v>67</v>
      </c>
      <c r="C634" s="83" t="s">
        <v>219</v>
      </c>
      <c r="D634" s="83">
        <v>9</v>
      </c>
      <c r="E634" s="84">
        <v>4572</v>
      </c>
    </row>
    <row r="635" spans="1:5" s="85" customFormat="1" ht="12" x14ac:dyDescent="0.2">
      <c r="A635" s="83">
        <f t="shared" si="9"/>
        <v>68002</v>
      </c>
      <c r="B635" s="83">
        <v>68</v>
      </c>
      <c r="C635" s="83" t="s">
        <v>220</v>
      </c>
      <c r="D635" s="83">
        <v>2</v>
      </c>
      <c r="E635" s="84">
        <v>3915</v>
      </c>
    </row>
    <row r="636" spans="1:5" s="85" customFormat="1" ht="12" x14ac:dyDescent="0.2">
      <c r="A636" s="83">
        <f t="shared" si="9"/>
        <v>68003</v>
      </c>
      <c r="B636" s="83">
        <v>68</v>
      </c>
      <c r="C636" s="83" t="s">
        <v>220</v>
      </c>
      <c r="D636" s="83">
        <v>3</v>
      </c>
      <c r="E636" s="84">
        <v>3915</v>
      </c>
    </row>
    <row r="637" spans="1:5" s="85" customFormat="1" ht="12" x14ac:dyDescent="0.2">
      <c r="A637" s="83">
        <f t="shared" si="9"/>
        <v>68004</v>
      </c>
      <c r="B637" s="83">
        <v>68</v>
      </c>
      <c r="C637" s="83" t="s">
        <v>220</v>
      </c>
      <c r="D637" s="83">
        <v>4</v>
      </c>
      <c r="E637" s="84">
        <v>3915</v>
      </c>
    </row>
    <row r="638" spans="1:5" s="85" customFormat="1" ht="12" x14ac:dyDescent="0.2">
      <c r="A638" s="83">
        <f t="shared" si="9"/>
        <v>68005</v>
      </c>
      <c r="B638" s="83">
        <v>68</v>
      </c>
      <c r="C638" s="83" t="s">
        <v>220</v>
      </c>
      <c r="D638" s="83">
        <v>5</v>
      </c>
      <c r="E638" s="84">
        <v>3915</v>
      </c>
    </row>
    <row r="639" spans="1:5" s="85" customFormat="1" ht="12" x14ac:dyDescent="0.2">
      <c r="A639" s="83">
        <f t="shared" si="9"/>
        <v>69002</v>
      </c>
      <c r="B639" s="83">
        <v>69</v>
      </c>
      <c r="C639" s="83" t="s">
        <v>221</v>
      </c>
      <c r="D639" s="83">
        <v>2</v>
      </c>
      <c r="E639" s="84">
        <v>1640</v>
      </c>
    </row>
    <row r="640" spans="1:5" s="85" customFormat="1" ht="12" x14ac:dyDescent="0.2">
      <c r="A640" s="83">
        <f t="shared" si="9"/>
        <v>69003</v>
      </c>
      <c r="B640" s="83">
        <v>69</v>
      </c>
      <c r="C640" s="83" t="s">
        <v>221</v>
      </c>
      <c r="D640" s="83">
        <v>3</v>
      </c>
      <c r="E640" s="84">
        <v>1640</v>
      </c>
    </row>
    <row r="641" spans="1:5" s="85" customFormat="1" ht="12" x14ac:dyDescent="0.2">
      <c r="A641" s="83">
        <f t="shared" si="9"/>
        <v>69004</v>
      </c>
      <c r="B641" s="83">
        <v>69</v>
      </c>
      <c r="C641" s="83" t="s">
        <v>221</v>
      </c>
      <c r="D641" s="83">
        <v>4</v>
      </c>
      <c r="E641" s="84">
        <v>1640</v>
      </c>
    </row>
    <row r="642" spans="1:5" s="85" customFormat="1" ht="12" x14ac:dyDescent="0.2">
      <c r="A642" s="83">
        <f t="shared" si="9"/>
        <v>69005</v>
      </c>
      <c r="B642" s="83">
        <v>69</v>
      </c>
      <c r="C642" s="83" t="s">
        <v>221</v>
      </c>
      <c r="D642" s="83">
        <v>5</v>
      </c>
      <c r="E642" s="84">
        <v>1640</v>
      </c>
    </row>
    <row r="643" spans="1:5" s="85" customFormat="1" ht="12" x14ac:dyDescent="0.2">
      <c r="A643" s="83">
        <f t="shared" ref="A643:A706" si="10">+B643*1000+D643</f>
        <v>69006</v>
      </c>
      <c r="B643" s="83">
        <v>69</v>
      </c>
      <c r="C643" s="83" t="s">
        <v>221</v>
      </c>
      <c r="D643" s="83">
        <v>6</v>
      </c>
      <c r="E643" s="84">
        <v>1640</v>
      </c>
    </row>
    <row r="644" spans="1:5" s="85" customFormat="1" ht="12" x14ac:dyDescent="0.2">
      <c r="A644" s="83">
        <f t="shared" si="10"/>
        <v>70002</v>
      </c>
      <c r="B644" s="83">
        <v>70</v>
      </c>
      <c r="C644" s="83" t="s">
        <v>222</v>
      </c>
      <c r="D644" s="83">
        <v>2</v>
      </c>
      <c r="E644" s="84">
        <v>6329</v>
      </c>
    </row>
    <row r="645" spans="1:5" s="85" customFormat="1" ht="12" x14ac:dyDescent="0.2">
      <c r="A645" s="83">
        <f t="shared" si="10"/>
        <v>70003</v>
      </c>
      <c r="B645" s="83">
        <v>70</v>
      </c>
      <c r="C645" s="83" t="s">
        <v>222</v>
      </c>
      <c r="D645" s="83">
        <v>3</v>
      </c>
      <c r="E645" s="84">
        <v>6329</v>
      </c>
    </row>
    <row r="646" spans="1:5" s="85" customFormat="1" ht="12" x14ac:dyDescent="0.2">
      <c r="A646" s="83">
        <f t="shared" si="10"/>
        <v>70004</v>
      </c>
      <c r="B646" s="83">
        <v>70</v>
      </c>
      <c r="C646" s="83" t="s">
        <v>222</v>
      </c>
      <c r="D646" s="83">
        <v>4</v>
      </c>
      <c r="E646" s="84">
        <v>6329</v>
      </c>
    </row>
    <row r="647" spans="1:5" s="85" customFormat="1" ht="12" x14ac:dyDescent="0.2">
      <c r="A647" s="83">
        <f t="shared" si="10"/>
        <v>70005</v>
      </c>
      <c r="B647" s="83">
        <v>70</v>
      </c>
      <c r="C647" s="83" t="s">
        <v>222</v>
      </c>
      <c r="D647" s="83">
        <v>5</v>
      </c>
      <c r="E647" s="84">
        <v>6329</v>
      </c>
    </row>
    <row r="648" spans="1:5" s="85" customFormat="1" ht="12" x14ac:dyDescent="0.2">
      <c r="A648" s="83">
        <f t="shared" si="10"/>
        <v>70006</v>
      </c>
      <c r="B648" s="83">
        <v>70</v>
      </c>
      <c r="C648" s="83" t="s">
        <v>222</v>
      </c>
      <c r="D648" s="83">
        <v>6</v>
      </c>
      <c r="E648" s="84">
        <v>6329</v>
      </c>
    </row>
    <row r="649" spans="1:5" s="85" customFormat="1" ht="12" x14ac:dyDescent="0.2">
      <c r="A649" s="83">
        <f t="shared" si="10"/>
        <v>70007</v>
      </c>
      <c r="B649" s="83">
        <v>70</v>
      </c>
      <c r="C649" s="83" t="s">
        <v>222</v>
      </c>
      <c r="D649" s="83">
        <v>7</v>
      </c>
      <c r="E649" s="84">
        <v>6329</v>
      </c>
    </row>
    <row r="650" spans="1:5" s="85" customFormat="1" ht="12" x14ac:dyDescent="0.2">
      <c r="A650" s="83">
        <f t="shared" si="10"/>
        <v>70008</v>
      </c>
      <c r="B650" s="83">
        <v>70</v>
      </c>
      <c r="C650" s="83" t="s">
        <v>222</v>
      </c>
      <c r="D650" s="83">
        <v>8</v>
      </c>
      <c r="E650" s="84">
        <v>6329</v>
      </c>
    </row>
    <row r="651" spans="1:5" s="85" customFormat="1" ht="12" x14ac:dyDescent="0.2">
      <c r="A651" s="83">
        <f t="shared" si="10"/>
        <v>71001</v>
      </c>
      <c r="B651" s="83">
        <v>71</v>
      </c>
      <c r="C651" s="83" t="s">
        <v>223</v>
      </c>
      <c r="D651" s="83">
        <v>1</v>
      </c>
      <c r="E651" s="84">
        <v>3320</v>
      </c>
    </row>
    <row r="652" spans="1:5" s="85" customFormat="1" ht="12" x14ac:dyDescent="0.2">
      <c r="A652" s="83">
        <f t="shared" si="10"/>
        <v>71002</v>
      </c>
      <c r="B652" s="83">
        <v>71</v>
      </c>
      <c r="C652" s="83" t="s">
        <v>223</v>
      </c>
      <c r="D652" s="83">
        <v>2</v>
      </c>
      <c r="E652" s="84">
        <v>3320</v>
      </c>
    </row>
    <row r="653" spans="1:5" s="85" customFormat="1" ht="12" x14ac:dyDescent="0.2">
      <c r="A653" s="83">
        <f t="shared" si="10"/>
        <v>71003</v>
      </c>
      <c r="B653" s="83">
        <v>71</v>
      </c>
      <c r="C653" s="83" t="s">
        <v>223</v>
      </c>
      <c r="D653" s="83">
        <v>3</v>
      </c>
      <c r="E653" s="84">
        <v>2675</v>
      </c>
    </row>
    <row r="654" spans="1:5" s="85" customFormat="1" ht="12" x14ac:dyDescent="0.2">
      <c r="A654" s="83">
        <f t="shared" si="10"/>
        <v>71004</v>
      </c>
      <c r="B654" s="83">
        <v>71</v>
      </c>
      <c r="C654" s="83" t="s">
        <v>223</v>
      </c>
      <c r="D654" s="83">
        <v>4</v>
      </c>
      <c r="E654" s="84">
        <v>3228</v>
      </c>
    </row>
    <row r="655" spans="1:5" s="85" customFormat="1" ht="12" x14ac:dyDescent="0.2">
      <c r="A655" s="83">
        <f t="shared" si="10"/>
        <v>71005</v>
      </c>
      <c r="B655" s="83">
        <v>71</v>
      </c>
      <c r="C655" s="83" t="s">
        <v>223</v>
      </c>
      <c r="D655" s="83">
        <v>5</v>
      </c>
      <c r="E655" s="84">
        <v>3228</v>
      </c>
    </row>
    <row r="656" spans="1:5" s="85" customFormat="1" ht="12" x14ac:dyDescent="0.2">
      <c r="A656" s="83">
        <f t="shared" si="10"/>
        <v>71006</v>
      </c>
      <c r="B656" s="83">
        <v>71</v>
      </c>
      <c r="C656" s="83" t="s">
        <v>223</v>
      </c>
      <c r="D656" s="83">
        <v>6</v>
      </c>
      <c r="E656" s="84">
        <v>3320</v>
      </c>
    </row>
    <row r="657" spans="1:5" s="85" customFormat="1" ht="12" x14ac:dyDescent="0.2">
      <c r="A657" s="83">
        <f t="shared" si="10"/>
        <v>71007</v>
      </c>
      <c r="B657" s="83">
        <v>71</v>
      </c>
      <c r="C657" s="83" t="s">
        <v>223</v>
      </c>
      <c r="D657" s="83">
        <v>7</v>
      </c>
      <c r="E657" s="84">
        <v>3320</v>
      </c>
    </row>
    <row r="658" spans="1:5" s="85" customFormat="1" ht="12" x14ac:dyDescent="0.2">
      <c r="A658" s="83">
        <f t="shared" si="10"/>
        <v>71008</v>
      </c>
      <c r="B658" s="83">
        <v>71</v>
      </c>
      <c r="C658" s="83" t="s">
        <v>223</v>
      </c>
      <c r="D658" s="83">
        <v>8</v>
      </c>
      <c r="E658" s="84">
        <v>3320</v>
      </c>
    </row>
    <row r="659" spans="1:5" s="85" customFormat="1" ht="12" x14ac:dyDescent="0.2">
      <c r="A659" s="83">
        <f t="shared" si="10"/>
        <v>71009</v>
      </c>
      <c r="B659" s="83">
        <v>71</v>
      </c>
      <c r="C659" s="83" t="s">
        <v>223</v>
      </c>
      <c r="D659" s="83">
        <v>9</v>
      </c>
      <c r="E659" s="84">
        <v>3320</v>
      </c>
    </row>
    <row r="660" spans="1:5" s="85" customFormat="1" ht="12" x14ac:dyDescent="0.2">
      <c r="A660" s="83">
        <f t="shared" si="10"/>
        <v>71010</v>
      </c>
      <c r="B660" s="83">
        <v>71</v>
      </c>
      <c r="C660" s="83" t="s">
        <v>223</v>
      </c>
      <c r="D660" s="83">
        <v>10</v>
      </c>
      <c r="E660" s="84">
        <v>3228</v>
      </c>
    </row>
    <row r="661" spans="1:5" s="85" customFormat="1" ht="12" x14ac:dyDescent="0.2">
      <c r="A661" s="83">
        <f t="shared" si="10"/>
        <v>71011</v>
      </c>
      <c r="B661" s="83">
        <v>71</v>
      </c>
      <c r="C661" s="83" t="s">
        <v>223</v>
      </c>
      <c r="D661" s="83">
        <v>11</v>
      </c>
      <c r="E661" s="84">
        <v>3320</v>
      </c>
    </row>
    <row r="662" spans="1:5" s="85" customFormat="1" ht="12" x14ac:dyDescent="0.2">
      <c r="A662" s="83">
        <f t="shared" si="10"/>
        <v>72001</v>
      </c>
      <c r="B662" s="83">
        <v>72</v>
      </c>
      <c r="C662" s="83" t="s">
        <v>224</v>
      </c>
      <c r="D662" s="83">
        <v>1</v>
      </c>
      <c r="E662" s="84">
        <v>3753</v>
      </c>
    </row>
    <row r="663" spans="1:5" s="85" customFormat="1" ht="12" x14ac:dyDescent="0.2">
      <c r="A663" s="83">
        <f t="shared" si="10"/>
        <v>72002</v>
      </c>
      <c r="B663" s="83">
        <v>72</v>
      </c>
      <c r="C663" s="83" t="s">
        <v>224</v>
      </c>
      <c r="D663" s="83">
        <v>2</v>
      </c>
      <c r="E663" s="84">
        <v>3753</v>
      </c>
    </row>
    <row r="664" spans="1:5" s="85" customFormat="1" ht="12" x14ac:dyDescent="0.2">
      <c r="A664" s="83">
        <f t="shared" si="10"/>
        <v>72003</v>
      </c>
      <c r="B664" s="83">
        <v>72</v>
      </c>
      <c r="C664" s="83" t="s">
        <v>224</v>
      </c>
      <c r="D664" s="83">
        <v>3</v>
      </c>
      <c r="E664" s="84">
        <v>3753</v>
      </c>
    </row>
    <row r="665" spans="1:5" s="85" customFormat="1" ht="12" x14ac:dyDescent="0.2">
      <c r="A665" s="83">
        <f t="shared" si="10"/>
        <v>73001</v>
      </c>
      <c r="B665" s="83">
        <v>73</v>
      </c>
      <c r="C665" s="83" t="s">
        <v>225</v>
      </c>
      <c r="D665" s="83">
        <v>1</v>
      </c>
      <c r="E665" s="84">
        <v>1828</v>
      </c>
    </row>
    <row r="666" spans="1:5" s="85" customFormat="1" ht="12" x14ac:dyDescent="0.2">
      <c r="A666" s="83">
        <f t="shared" si="10"/>
        <v>73002</v>
      </c>
      <c r="B666" s="83">
        <v>73</v>
      </c>
      <c r="C666" s="83" t="s">
        <v>225</v>
      </c>
      <c r="D666" s="83">
        <v>2</v>
      </c>
      <c r="E666" s="84">
        <v>1828</v>
      </c>
    </row>
    <row r="667" spans="1:5" s="85" customFormat="1" ht="12" x14ac:dyDescent="0.2">
      <c r="A667" s="83">
        <f t="shared" si="10"/>
        <v>73003</v>
      </c>
      <c r="B667" s="83">
        <v>73</v>
      </c>
      <c r="C667" s="83" t="s">
        <v>225</v>
      </c>
      <c r="D667" s="83">
        <v>3</v>
      </c>
      <c r="E667" s="84">
        <v>1828</v>
      </c>
    </row>
    <row r="668" spans="1:5" s="85" customFormat="1" ht="12" x14ac:dyDescent="0.2">
      <c r="A668" s="83">
        <f t="shared" si="10"/>
        <v>73004</v>
      </c>
      <c r="B668" s="83">
        <v>73</v>
      </c>
      <c r="C668" s="83" t="s">
        <v>225</v>
      </c>
      <c r="D668" s="83">
        <v>4</v>
      </c>
      <c r="E668" s="84">
        <v>1828</v>
      </c>
    </row>
    <row r="669" spans="1:5" s="85" customFormat="1" ht="12" x14ac:dyDescent="0.2">
      <c r="A669" s="83">
        <f t="shared" si="10"/>
        <v>73005</v>
      </c>
      <c r="B669" s="83">
        <v>73</v>
      </c>
      <c r="C669" s="83" t="s">
        <v>225</v>
      </c>
      <c r="D669" s="83">
        <v>5</v>
      </c>
      <c r="E669" s="84">
        <v>1727</v>
      </c>
    </row>
    <row r="670" spans="1:5" s="85" customFormat="1" ht="12" x14ac:dyDescent="0.2">
      <c r="A670" s="83">
        <f t="shared" si="10"/>
        <v>73006</v>
      </c>
      <c r="B670" s="83">
        <v>73</v>
      </c>
      <c r="C670" s="83" t="s">
        <v>225</v>
      </c>
      <c r="D670" s="83">
        <v>6</v>
      </c>
      <c r="E670" s="84">
        <v>1828</v>
      </c>
    </row>
    <row r="671" spans="1:5" s="85" customFormat="1" ht="12" x14ac:dyDescent="0.2">
      <c r="A671" s="83">
        <f t="shared" si="10"/>
        <v>73007</v>
      </c>
      <c r="B671" s="83">
        <v>73</v>
      </c>
      <c r="C671" s="83" t="s">
        <v>225</v>
      </c>
      <c r="D671" s="83">
        <v>7</v>
      </c>
      <c r="E671" s="84">
        <v>1828</v>
      </c>
    </row>
    <row r="672" spans="1:5" s="85" customFormat="1" ht="12" x14ac:dyDescent="0.2">
      <c r="A672" s="83">
        <f t="shared" si="10"/>
        <v>73008</v>
      </c>
      <c r="B672" s="83">
        <v>73</v>
      </c>
      <c r="C672" s="83" t="s">
        <v>225</v>
      </c>
      <c r="D672" s="83">
        <v>8</v>
      </c>
      <c r="E672" s="84">
        <v>1676</v>
      </c>
    </row>
    <row r="673" spans="1:5" s="85" customFormat="1" ht="12" x14ac:dyDescent="0.2">
      <c r="A673" s="83">
        <f t="shared" si="10"/>
        <v>74001</v>
      </c>
      <c r="B673" s="83">
        <v>74</v>
      </c>
      <c r="C673" s="83" t="s">
        <v>226</v>
      </c>
      <c r="D673" s="83">
        <v>1</v>
      </c>
      <c r="E673" s="84">
        <v>9945</v>
      </c>
    </row>
    <row r="674" spans="1:5" s="85" customFormat="1" ht="12" x14ac:dyDescent="0.2">
      <c r="A674" s="83">
        <f t="shared" si="10"/>
        <v>74002</v>
      </c>
      <c r="B674" s="83">
        <v>74</v>
      </c>
      <c r="C674" s="83" t="s">
        <v>226</v>
      </c>
      <c r="D674" s="83">
        <v>2</v>
      </c>
      <c r="E674" s="84">
        <v>9945</v>
      </c>
    </row>
    <row r="675" spans="1:5" s="85" customFormat="1" ht="12" x14ac:dyDescent="0.2">
      <c r="A675" s="83">
        <f t="shared" si="10"/>
        <v>74003</v>
      </c>
      <c r="B675" s="83">
        <v>74</v>
      </c>
      <c r="C675" s="83" t="s">
        <v>226</v>
      </c>
      <c r="D675" s="83">
        <v>3</v>
      </c>
      <c r="E675" s="84">
        <v>9945</v>
      </c>
    </row>
    <row r="676" spans="1:5" s="85" customFormat="1" ht="12" x14ac:dyDescent="0.2">
      <c r="A676" s="83">
        <f t="shared" si="10"/>
        <v>74004</v>
      </c>
      <c r="B676" s="83">
        <v>74</v>
      </c>
      <c r="C676" s="83" t="s">
        <v>226</v>
      </c>
      <c r="D676" s="83">
        <v>4</v>
      </c>
      <c r="E676" s="84">
        <v>9945</v>
      </c>
    </row>
    <row r="677" spans="1:5" s="85" customFormat="1" ht="12" x14ac:dyDescent="0.2">
      <c r="A677" s="83">
        <f t="shared" si="10"/>
        <v>74005</v>
      </c>
      <c r="B677" s="83">
        <v>74</v>
      </c>
      <c r="C677" s="83" t="s">
        <v>226</v>
      </c>
      <c r="D677" s="83">
        <v>5</v>
      </c>
      <c r="E677" s="84">
        <v>9945</v>
      </c>
    </row>
    <row r="678" spans="1:5" s="85" customFormat="1" ht="12" x14ac:dyDescent="0.2">
      <c r="A678" s="83">
        <f t="shared" si="10"/>
        <v>74006</v>
      </c>
      <c r="B678" s="83">
        <v>74</v>
      </c>
      <c r="C678" s="83" t="s">
        <v>226</v>
      </c>
      <c r="D678" s="83">
        <v>6</v>
      </c>
      <c r="E678" s="84">
        <v>9945</v>
      </c>
    </row>
    <row r="679" spans="1:5" s="85" customFormat="1" ht="12" x14ac:dyDescent="0.2">
      <c r="A679" s="83">
        <f t="shared" si="10"/>
        <v>75001</v>
      </c>
      <c r="B679" s="83">
        <v>75</v>
      </c>
      <c r="C679" s="83" t="s">
        <v>227</v>
      </c>
      <c r="D679" s="83">
        <v>1</v>
      </c>
      <c r="E679" s="84">
        <v>2131</v>
      </c>
    </row>
    <row r="680" spans="1:5" s="85" customFormat="1" ht="12" x14ac:dyDescent="0.2">
      <c r="A680" s="83">
        <f t="shared" si="10"/>
        <v>75002</v>
      </c>
      <c r="B680" s="83">
        <v>75</v>
      </c>
      <c r="C680" s="83" t="s">
        <v>227</v>
      </c>
      <c r="D680" s="83">
        <v>2</v>
      </c>
      <c r="E680" s="84">
        <v>1937</v>
      </c>
    </row>
    <row r="681" spans="1:5" s="85" customFormat="1" ht="12" x14ac:dyDescent="0.2">
      <c r="A681" s="83">
        <f t="shared" si="10"/>
        <v>75003</v>
      </c>
      <c r="B681" s="83">
        <v>75</v>
      </c>
      <c r="C681" s="83" t="s">
        <v>227</v>
      </c>
      <c r="D681" s="83">
        <v>3</v>
      </c>
      <c r="E681" s="84">
        <v>2131</v>
      </c>
    </row>
    <row r="682" spans="1:5" s="85" customFormat="1" ht="12" x14ac:dyDescent="0.2">
      <c r="A682" s="83">
        <f t="shared" si="10"/>
        <v>75004</v>
      </c>
      <c r="B682" s="83">
        <v>75</v>
      </c>
      <c r="C682" s="83" t="s">
        <v>227</v>
      </c>
      <c r="D682" s="83">
        <v>4</v>
      </c>
      <c r="E682" s="84">
        <v>1873</v>
      </c>
    </row>
    <row r="683" spans="1:5" s="85" customFormat="1" ht="12" x14ac:dyDescent="0.2">
      <c r="A683" s="83">
        <f t="shared" si="10"/>
        <v>75005</v>
      </c>
      <c r="B683" s="83">
        <v>75</v>
      </c>
      <c r="C683" s="83" t="s">
        <v>227</v>
      </c>
      <c r="D683" s="83">
        <v>5</v>
      </c>
      <c r="E683" s="84">
        <v>2325</v>
      </c>
    </row>
    <row r="684" spans="1:5" s="85" customFormat="1" ht="12" x14ac:dyDescent="0.2">
      <c r="A684" s="83">
        <f t="shared" si="10"/>
        <v>75006</v>
      </c>
      <c r="B684" s="83">
        <v>75</v>
      </c>
      <c r="C684" s="83" t="s">
        <v>227</v>
      </c>
      <c r="D684" s="83">
        <v>6</v>
      </c>
      <c r="E684" s="84">
        <v>1937</v>
      </c>
    </row>
    <row r="685" spans="1:5" s="85" customFormat="1" ht="12" x14ac:dyDescent="0.2">
      <c r="A685" s="83">
        <f t="shared" si="10"/>
        <v>75007</v>
      </c>
      <c r="B685" s="83">
        <v>75</v>
      </c>
      <c r="C685" s="83" t="s">
        <v>227</v>
      </c>
      <c r="D685" s="83">
        <v>7</v>
      </c>
      <c r="E685" s="84">
        <v>2325</v>
      </c>
    </row>
    <row r="686" spans="1:5" s="85" customFormat="1" ht="12" x14ac:dyDescent="0.2">
      <c r="A686" s="83">
        <f t="shared" si="10"/>
        <v>75008</v>
      </c>
      <c r="B686" s="83">
        <v>75</v>
      </c>
      <c r="C686" s="83" t="s">
        <v>227</v>
      </c>
      <c r="D686" s="83">
        <v>8</v>
      </c>
      <c r="E686" s="84">
        <v>2325</v>
      </c>
    </row>
    <row r="687" spans="1:5" s="85" customFormat="1" ht="12" x14ac:dyDescent="0.2">
      <c r="A687" s="83">
        <f t="shared" si="10"/>
        <v>75009</v>
      </c>
      <c r="B687" s="83">
        <v>75</v>
      </c>
      <c r="C687" s="83" t="s">
        <v>227</v>
      </c>
      <c r="D687" s="83">
        <v>9</v>
      </c>
      <c r="E687" s="84">
        <v>1937</v>
      </c>
    </row>
    <row r="688" spans="1:5" s="85" customFormat="1" ht="12" x14ac:dyDescent="0.2">
      <c r="A688" s="83">
        <f t="shared" si="10"/>
        <v>76001</v>
      </c>
      <c r="B688" s="83">
        <v>76</v>
      </c>
      <c r="C688" s="83" t="s">
        <v>228</v>
      </c>
      <c r="D688" s="83">
        <v>1</v>
      </c>
      <c r="E688" s="84">
        <v>2822</v>
      </c>
    </row>
    <row r="689" spans="1:5" s="85" customFormat="1" ht="12" x14ac:dyDescent="0.2">
      <c r="A689" s="83">
        <f t="shared" si="10"/>
        <v>76002</v>
      </c>
      <c r="B689" s="83">
        <v>76</v>
      </c>
      <c r="C689" s="83" t="s">
        <v>228</v>
      </c>
      <c r="D689" s="83">
        <v>2</v>
      </c>
      <c r="E689" s="84">
        <v>2480</v>
      </c>
    </row>
    <row r="690" spans="1:5" s="85" customFormat="1" ht="12" x14ac:dyDescent="0.2">
      <c r="A690" s="83">
        <f t="shared" si="10"/>
        <v>76003</v>
      </c>
      <c r="B690" s="83">
        <v>76</v>
      </c>
      <c r="C690" s="83" t="s">
        <v>228</v>
      </c>
      <c r="D690" s="83">
        <v>3</v>
      </c>
      <c r="E690" s="84">
        <v>2480</v>
      </c>
    </row>
    <row r="691" spans="1:5" s="85" customFormat="1" ht="12" x14ac:dyDescent="0.2">
      <c r="A691" s="83">
        <f t="shared" si="10"/>
        <v>76004</v>
      </c>
      <c r="B691" s="83">
        <v>76</v>
      </c>
      <c r="C691" s="83" t="s">
        <v>228</v>
      </c>
      <c r="D691" s="83">
        <v>4</v>
      </c>
      <c r="E691" s="84">
        <v>2480</v>
      </c>
    </row>
    <row r="692" spans="1:5" s="85" customFormat="1" ht="12" x14ac:dyDescent="0.2">
      <c r="A692" s="83">
        <f t="shared" si="10"/>
        <v>76006</v>
      </c>
      <c r="B692" s="83">
        <v>76</v>
      </c>
      <c r="C692" s="83" t="s">
        <v>228</v>
      </c>
      <c r="D692" s="83">
        <v>6</v>
      </c>
      <c r="E692" s="84">
        <v>2480</v>
      </c>
    </row>
    <row r="693" spans="1:5" s="85" customFormat="1" ht="12" x14ac:dyDescent="0.2">
      <c r="A693" s="83">
        <f t="shared" si="10"/>
        <v>76007</v>
      </c>
      <c r="B693" s="83">
        <v>76</v>
      </c>
      <c r="C693" s="83" t="s">
        <v>228</v>
      </c>
      <c r="D693" s="83">
        <v>7</v>
      </c>
      <c r="E693" s="84">
        <v>2480</v>
      </c>
    </row>
    <row r="694" spans="1:5" s="85" customFormat="1" ht="12" x14ac:dyDescent="0.2">
      <c r="A694" s="83">
        <f t="shared" si="10"/>
        <v>76011</v>
      </c>
      <c r="B694" s="83">
        <v>76</v>
      </c>
      <c r="C694" s="83" t="s">
        <v>228</v>
      </c>
      <c r="D694" s="83">
        <v>11</v>
      </c>
      <c r="E694" s="84">
        <v>2480</v>
      </c>
    </row>
    <row r="695" spans="1:5" s="85" customFormat="1" ht="12" x14ac:dyDescent="0.2">
      <c r="A695" s="83">
        <f t="shared" si="10"/>
        <v>76012</v>
      </c>
      <c r="B695" s="83">
        <v>76</v>
      </c>
      <c r="C695" s="83" t="s">
        <v>228</v>
      </c>
      <c r="D695" s="83">
        <v>12</v>
      </c>
      <c r="E695" s="84">
        <v>2480</v>
      </c>
    </row>
    <row r="696" spans="1:5" s="85" customFormat="1" ht="12" x14ac:dyDescent="0.2">
      <c r="A696" s="83">
        <f t="shared" si="10"/>
        <v>76013</v>
      </c>
      <c r="B696" s="83">
        <v>76</v>
      </c>
      <c r="C696" s="83" t="s">
        <v>228</v>
      </c>
      <c r="D696" s="83">
        <v>13</v>
      </c>
      <c r="E696" s="84">
        <v>2822</v>
      </c>
    </row>
    <row r="697" spans="1:5" s="85" customFormat="1" ht="12" x14ac:dyDescent="0.2">
      <c r="A697" s="83">
        <f t="shared" si="10"/>
        <v>76014</v>
      </c>
      <c r="B697" s="83">
        <v>76</v>
      </c>
      <c r="C697" s="83" t="s">
        <v>228</v>
      </c>
      <c r="D697" s="83">
        <v>14</v>
      </c>
      <c r="E697" s="84">
        <v>2565</v>
      </c>
    </row>
    <row r="698" spans="1:5" s="85" customFormat="1" ht="12" x14ac:dyDescent="0.2">
      <c r="A698" s="83">
        <f t="shared" si="10"/>
        <v>77002</v>
      </c>
      <c r="B698" s="83">
        <v>77</v>
      </c>
      <c r="C698" s="83" t="s">
        <v>229</v>
      </c>
      <c r="D698" s="83">
        <v>2</v>
      </c>
      <c r="E698" s="84">
        <v>2810</v>
      </c>
    </row>
    <row r="699" spans="1:5" s="85" customFormat="1" ht="12" x14ac:dyDescent="0.2">
      <c r="A699" s="83">
        <f t="shared" si="10"/>
        <v>77003</v>
      </c>
      <c r="B699" s="83">
        <v>77</v>
      </c>
      <c r="C699" s="83" t="s">
        <v>229</v>
      </c>
      <c r="D699" s="83">
        <v>3</v>
      </c>
      <c r="E699" s="84">
        <v>2435</v>
      </c>
    </row>
    <row r="700" spans="1:5" s="85" customFormat="1" ht="12" x14ac:dyDescent="0.2">
      <c r="A700" s="83">
        <f t="shared" si="10"/>
        <v>77004</v>
      </c>
      <c r="B700" s="83">
        <v>77</v>
      </c>
      <c r="C700" s="83" t="s">
        <v>229</v>
      </c>
      <c r="D700" s="83">
        <v>4</v>
      </c>
      <c r="E700" s="84">
        <v>2435</v>
      </c>
    </row>
    <row r="701" spans="1:5" s="85" customFormat="1" ht="12" x14ac:dyDescent="0.2">
      <c r="A701" s="83">
        <f t="shared" si="10"/>
        <v>77005</v>
      </c>
      <c r="B701" s="83">
        <v>77</v>
      </c>
      <c r="C701" s="83" t="s">
        <v>229</v>
      </c>
      <c r="D701" s="83">
        <v>5</v>
      </c>
      <c r="E701" s="84">
        <v>2623</v>
      </c>
    </row>
    <row r="702" spans="1:5" s="85" customFormat="1" ht="12" x14ac:dyDescent="0.2">
      <c r="A702" s="83">
        <f t="shared" si="10"/>
        <v>77006</v>
      </c>
      <c r="B702" s="83">
        <v>77</v>
      </c>
      <c r="C702" s="83" t="s">
        <v>229</v>
      </c>
      <c r="D702" s="83">
        <v>6</v>
      </c>
      <c r="E702" s="84">
        <v>2810</v>
      </c>
    </row>
    <row r="703" spans="1:5" s="85" customFormat="1" ht="12" x14ac:dyDescent="0.2">
      <c r="A703" s="83">
        <f t="shared" si="10"/>
        <v>77007</v>
      </c>
      <c r="B703" s="83">
        <v>77</v>
      </c>
      <c r="C703" s="83" t="s">
        <v>229</v>
      </c>
      <c r="D703" s="83">
        <v>7</v>
      </c>
      <c r="E703" s="84">
        <v>2623</v>
      </c>
    </row>
    <row r="704" spans="1:5" s="85" customFormat="1" ht="12" x14ac:dyDescent="0.2">
      <c r="A704" s="83">
        <f t="shared" si="10"/>
        <v>77008</v>
      </c>
      <c r="B704" s="83">
        <v>77</v>
      </c>
      <c r="C704" s="83" t="s">
        <v>229</v>
      </c>
      <c r="D704" s="83">
        <v>8</v>
      </c>
      <c r="E704" s="84">
        <v>2623</v>
      </c>
    </row>
    <row r="705" spans="1:5" s="85" customFormat="1" ht="12" x14ac:dyDescent="0.2">
      <c r="A705" s="83">
        <f t="shared" si="10"/>
        <v>77009</v>
      </c>
      <c r="B705" s="83">
        <v>77</v>
      </c>
      <c r="C705" s="83" t="s">
        <v>229</v>
      </c>
      <c r="D705" s="83">
        <v>9</v>
      </c>
      <c r="E705" s="84">
        <v>2810</v>
      </c>
    </row>
    <row r="706" spans="1:5" s="85" customFormat="1" ht="12" x14ac:dyDescent="0.2">
      <c r="A706" s="83">
        <f t="shared" si="10"/>
        <v>77010</v>
      </c>
      <c r="B706" s="83">
        <v>77</v>
      </c>
      <c r="C706" s="83" t="s">
        <v>229</v>
      </c>
      <c r="D706" s="83">
        <v>10</v>
      </c>
      <c r="E706" s="84">
        <v>2435</v>
      </c>
    </row>
    <row r="707" spans="1:5" s="85" customFormat="1" ht="12" x14ac:dyDescent="0.2">
      <c r="A707" s="83">
        <f t="shared" ref="A707:A770" si="11">+B707*1000+D707</f>
        <v>77011</v>
      </c>
      <c r="B707" s="83">
        <v>77</v>
      </c>
      <c r="C707" s="83" t="s">
        <v>229</v>
      </c>
      <c r="D707" s="83">
        <v>11</v>
      </c>
      <c r="E707" s="84">
        <v>2435</v>
      </c>
    </row>
    <row r="708" spans="1:5" s="85" customFormat="1" ht="12" x14ac:dyDescent="0.2">
      <c r="A708" s="83">
        <f t="shared" si="11"/>
        <v>77012</v>
      </c>
      <c r="B708" s="83">
        <v>77</v>
      </c>
      <c r="C708" s="83" t="s">
        <v>229</v>
      </c>
      <c r="D708" s="83">
        <v>12</v>
      </c>
      <c r="E708" s="84">
        <v>2623</v>
      </c>
    </row>
    <row r="709" spans="1:5" s="85" customFormat="1" ht="12" x14ac:dyDescent="0.2">
      <c r="A709" s="83">
        <f t="shared" si="11"/>
        <v>77013</v>
      </c>
      <c r="B709" s="83">
        <v>77</v>
      </c>
      <c r="C709" s="83" t="s">
        <v>229</v>
      </c>
      <c r="D709" s="83">
        <v>13</v>
      </c>
      <c r="E709" s="84">
        <v>2716</v>
      </c>
    </row>
    <row r="710" spans="1:5" s="85" customFormat="1" ht="12" x14ac:dyDescent="0.2">
      <c r="A710" s="83">
        <f t="shared" si="11"/>
        <v>77014</v>
      </c>
      <c r="B710" s="83">
        <v>77</v>
      </c>
      <c r="C710" s="83" t="s">
        <v>229</v>
      </c>
      <c r="D710" s="83">
        <v>14</v>
      </c>
      <c r="E710" s="84">
        <v>2623</v>
      </c>
    </row>
    <row r="711" spans="1:5" s="85" customFormat="1" ht="12" x14ac:dyDescent="0.2">
      <c r="A711" s="83">
        <f t="shared" si="11"/>
        <v>77015</v>
      </c>
      <c r="B711" s="83">
        <v>77</v>
      </c>
      <c r="C711" s="83" t="s">
        <v>229</v>
      </c>
      <c r="D711" s="83">
        <v>15</v>
      </c>
      <c r="E711" s="84">
        <v>2810</v>
      </c>
    </row>
    <row r="712" spans="1:5" s="85" customFormat="1" ht="12" x14ac:dyDescent="0.2">
      <c r="A712" s="83">
        <f t="shared" si="11"/>
        <v>78002</v>
      </c>
      <c r="B712" s="83">
        <v>78</v>
      </c>
      <c r="C712" s="83" t="s">
        <v>230</v>
      </c>
      <c r="D712" s="83">
        <v>2</v>
      </c>
      <c r="E712" s="84">
        <v>2354</v>
      </c>
    </row>
    <row r="713" spans="1:5" s="85" customFormat="1" ht="12" x14ac:dyDescent="0.2">
      <c r="A713" s="83">
        <f t="shared" si="11"/>
        <v>78003</v>
      </c>
      <c r="B713" s="83">
        <v>78</v>
      </c>
      <c r="C713" s="83" t="s">
        <v>230</v>
      </c>
      <c r="D713" s="83">
        <v>3</v>
      </c>
      <c r="E713" s="84">
        <v>2219</v>
      </c>
    </row>
    <row r="714" spans="1:5" s="85" customFormat="1" ht="12" x14ac:dyDescent="0.2">
      <c r="A714" s="83">
        <f t="shared" si="11"/>
        <v>78004</v>
      </c>
      <c r="B714" s="83">
        <v>78</v>
      </c>
      <c r="C714" s="83" t="s">
        <v>230</v>
      </c>
      <c r="D714" s="83">
        <v>4</v>
      </c>
      <c r="E714" s="84">
        <v>1950</v>
      </c>
    </row>
    <row r="715" spans="1:5" s="85" customFormat="1" ht="12" x14ac:dyDescent="0.2">
      <c r="A715" s="83">
        <f t="shared" si="11"/>
        <v>78005</v>
      </c>
      <c r="B715" s="83">
        <v>78</v>
      </c>
      <c r="C715" s="83" t="s">
        <v>230</v>
      </c>
      <c r="D715" s="83">
        <v>5</v>
      </c>
      <c r="E715" s="84">
        <v>1950</v>
      </c>
    </row>
    <row r="716" spans="1:5" s="85" customFormat="1" ht="12" x14ac:dyDescent="0.2">
      <c r="A716" s="83">
        <f t="shared" si="11"/>
        <v>78006</v>
      </c>
      <c r="B716" s="83">
        <v>78</v>
      </c>
      <c r="C716" s="83" t="s">
        <v>230</v>
      </c>
      <c r="D716" s="83">
        <v>6</v>
      </c>
      <c r="E716" s="84">
        <v>2354</v>
      </c>
    </row>
    <row r="717" spans="1:5" s="85" customFormat="1" ht="12" x14ac:dyDescent="0.2">
      <c r="A717" s="83">
        <f t="shared" si="11"/>
        <v>78007</v>
      </c>
      <c r="B717" s="83">
        <v>78</v>
      </c>
      <c r="C717" s="83" t="s">
        <v>230</v>
      </c>
      <c r="D717" s="83">
        <v>7</v>
      </c>
      <c r="E717" s="84">
        <v>2219</v>
      </c>
    </row>
    <row r="718" spans="1:5" s="85" customFormat="1" ht="12" x14ac:dyDescent="0.2">
      <c r="A718" s="83">
        <f t="shared" si="11"/>
        <v>78008</v>
      </c>
      <c r="B718" s="83">
        <v>78</v>
      </c>
      <c r="C718" s="83" t="s">
        <v>230</v>
      </c>
      <c r="D718" s="83">
        <v>8</v>
      </c>
      <c r="E718" s="84">
        <v>2219</v>
      </c>
    </row>
    <row r="719" spans="1:5" s="85" customFormat="1" ht="12" x14ac:dyDescent="0.2">
      <c r="A719" s="83">
        <f t="shared" si="11"/>
        <v>78009</v>
      </c>
      <c r="B719" s="83">
        <v>78</v>
      </c>
      <c r="C719" s="83" t="s">
        <v>230</v>
      </c>
      <c r="D719" s="83">
        <v>9</v>
      </c>
      <c r="E719" s="84">
        <v>2219</v>
      </c>
    </row>
    <row r="720" spans="1:5" s="85" customFormat="1" ht="12" x14ac:dyDescent="0.2">
      <c r="A720" s="83">
        <f t="shared" si="11"/>
        <v>78010</v>
      </c>
      <c r="B720" s="83">
        <v>78</v>
      </c>
      <c r="C720" s="83" t="s">
        <v>230</v>
      </c>
      <c r="D720" s="83">
        <v>10</v>
      </c>
      <c r="E720" s="84">
        <v>2017</v>
      </c>
    </row>
    <row r="721" spans="1:5" s="85" customFormat="1" ht="12" x14ac:dyDescent="0.2">
      <c r="A721" s="83">
        <f t="shared" si="11"/>
        <v>78011</v>
      </c>
      <c r="B721" s="83">
        <v>78</v>
      </c>
      <c r="C721" s="83" t="s">
        <v>230</v>
      </c>
      <c r="D721" s="83">
        <v>11</v>
      </c>
      <c r="E721" s="84">
        <v>2017</v>
      </c>
    </row>
    <row r="722" spans="1:5" s="85" customFormat="1" ht="12" x14ac:dyDescent="0.2">
      <c r="A722" s="83">
        <f t="shared" si="11"/>
        <v>78012</v>
      </c>
      <c r="B722" s="83">
        <v>78</v>
      </c>
      <c r="C722" s="83" t="s">
        <v>230</v>
      </c>
      <c r="D722" s="83">
        <v>12</v>
      </c>
      <c r="E722" s="84">
        <v>1950</v>
      </c>
    </row>
    <row r="723" spans="1:5" s="85" customFormat="1" ht="12" x14ac:dyDescent="0.2">
      <c r="A723" s="83">
        <f t="shared" si="11"/>
        <v>78013</v>
      </c>
      <c r="B723" s="83">
        <v>78</v>
      </c>
      <c r="C723" s="83" t="s">
        <v>230</v>
      </c>
      <c r="D723" s="83">
        <v>13</v>
      </c>
      <c r="E723" s="84">
        <v>1950</v>
      </c>
    </row>
    <row r="724" spans="1:5" s="85" customFormat="1" ht="12" x14ac:dyDescent="0.2">
      <c r="A724" s="83">
        <f t="shared" si="11"/>
        <v>78014</v>
      </c>
      <c r="B724" s="83">
        <v>78</v>
      </c>
      <c r="C724" s="83" t="s">
        <v>230</v>
      </c>
      <c r="D724" s="83">
        <v>14</v>
      </c>
      <c r="E724" s="84">
        <v>1950</v>
      </c>
    </row>
    <row r="725" spans="1:5" s="85" customFormat="1" ht="12" x14ac:dyDescent="0.2">
      <c r="A725" s="83">
        <f t="shared" si="11"/>
        <v>78015</v>
      </c>
      <c r="B725" s="83">
        <v>78</v>
      </c>
      <c r="C725" s="83" t="s">
        <v>230</v>
      </c>
      <c r="D725" s="83">
        <v>15</v>
      </c>
      <c r="E725" s="84">
        <v>2017</v>
      </c>
    </row>
    <row r="726" spans="1:5" s="85" customFormat="1" ht="12" x14ac:dyDescent="0.2">
      <c r="A726" s="83">
        <f t="shared" si="11"/>
        <v>78016</v>
      </c>
      <c r="B726" s="83">
        <v>78</v>
      </c>
      <c r="C726" s="83" t="s">
        <v>230</v>
      </c>
      <c r="D726" s="83">
        <v>16</v>
      </c>
      <c r="E726" s="84">
        <v>1950</v>
      </c>
    </row>
    <row r="727" spans="1:5" s="85" customFormat="1" ht="12" x14ac:dyDescent="0.2">
      <c r="A727" s="83">
        <f t="shared" si="11"/>
        <v>78017</v>
      </c>
      <c r="B727" s="83">
        <v>78</v>
      </c>
      <c r="C727" s="83" t="s">
        <v>230</v>
      </c>
      <c r="D727" s="83">
        <v>17</v>
      </c>
      <c r="E727" s="84">
        <v>2017</v>
      </c>
    </row>
    <row r="728" spans="1:5" s="85" customFormat="1" ht="12" x14ac:dyDescent="0.2">
      <c r="A728" s="83">
        <f t="shared" si="11"/>
        <v>78018</v>
      </c>
      <c r="B728" s="83">
        <v>78</v>
      </c>
      <c r="C728" s="83" t="s">
        <v>230</v>
      </c>
      <c r="D728" s="83">
        <v>18</v>
      </c>
      <c r="E728" s="84">
        <v>1950</v>
      </c>
    </row>
    <row r="729" spans="1:5" s="85" customFormat="1" ht="12" x14ac:dyDescent="0.2">
      <c r="A729" s="83">
        <f t="shared" si="11"/>
        <v>78019</v>
      </c>
      <c r="B729" s="83">
        <v>78</v>
      </c>
      <c r="C729" s="83" t="s">
        <v>230</v>
      </c>
      <c r="D729" s="83">
        <v>19</v>
      </c>
      <c r="E729" s="84">
        <v>1950</v>
      </c>
    </row>
    <row r="730" spans="1:5" s="85" customFormat="1" ht="12" x14ac:dyDescent="0.2">
      <c r="A730" s="83">
        <f t="shared" si="11"/>
        <v>78020</v>
      </c>
      <c r="B730" s="83">
        <v>78</v>
      </c>
      <c r="C730" s="83" t="s">
        <v>230</v>
      </c>
      <c r="D730" s="83">
        <v>20</v>
      </c>
      <c r="E730" s="84">
        <v>2017</v>
      </c>
    </row>
    <row r="731" spans="1:5" x14ac:dyDescent="0.2">
      <c r="A731" s="83">
        <f t="shared" si="11"/>
        <v>79001</v>
      </c>
      <c r="B731" s="80">
        <v>79</v>
      </c>
      <c r="C731" s="80" t="s">
        <v>231</v>
      </c>
      <c r="D731" s="80">
        <v>1</v>
      </c>
      <c r="E731" s="87">
        <v>2036</v>
      </c>
    </row>
    <row r="732" spans="1:5" x14ac:dyDescent="0.2">
      <c r="A732" s="83">
        <f t="shared" si="11"/>
        <v>79002</v>
      </c>
      <c r="B732" s="80">
        <v>79</v>
      </c>
      <c r="C732" s="80" t="s">
        <v>231</v>
      </c>
      <c r="D732" s="80">
        <v>2</v>
      </c>
      <c r="E732" s="80">
        <v>415</v>
      </c>
    </row>
    <row r="733" spans="1:5" x14ac:dyDescent="0.2">
      <c r="A733" s="83">
        <f t="shared" si="11"/>
        <v>79003</v>
      </c>
      <c r="B733" s="80">
        <v>79</v>
      </c>
      <c r="C733" s="80" t="s">
        <v>231</v>
      </c>
      <c r="D733" s="80">
        <v>3</v>
      </c>
      <c r="E733" s="80">
        <v>679</v>
      </c>
    </row>
    <row r="734" spans="1:5" x14ac:dyDescent="0.2">
      <c r="A734" s="83">
        <f t="shared" si="11"/>
        <v>80001</v>
      </c>
      <c r="B734" s="80">
        <v>80</v>
      </c>
      <c r="C734" s="80" t="s">
        <v>232</v>
      </c>
      <c r="D734" s="80">
        <v>1</v>
      </c>
      <c r="E734" s="87">
        <v>2129</v>
      </c>
    </row>
    <row r="735" spans="1:5" x14ac:dyDescent="0.2">
      <c r="A735" s="83">
        <f t="shared" si="11"/>
        <v>80002</v>
      </c>
      <c r="B735" s="80">
        <v>80</v>
      </c>
      <c r="C735" s="80" t="s">
        <v>232</v>
      </c>
      <c r="D735" s="80">
        <v>2</v>
      </c>
      <c r="E735" s="87">
        <v>2129</v>
      </c>
    </row>
    <row r="736" spans="1:5" x14ac:dyDescent="0.2">
      <c r="A736" s="83">
        <f t="shared" si="11"/>
        <v>80003</v>
      </c>
      <c r="B736" s="80">
        <v>80</v>
      </c>
      <c r="C736" s="80" t="s">
        <v>232</v>
      </c>
      <c r="D736" s="80">
        <v>3</v>
      </c>
      <c r="E736" s="87">
        <v>2129</v>
      </c>
    </row>
    <row r="737" spans="1:5" x14ac:dyDescent="0.2">
      <c r="A737" s="83">
        <f t="shared" si="11"/>
        <v>80004</v>
      </c>
      <c r="B737" s="80">
        <v>80</v>
      </c>
      <c r="C737" s="80" t="s">
        <v>232</v>
      </c>
      <c r="D737" s="80">
        <v>4</v>
      </c>
      <c r="E737" s="87">
        <v>2129</v>
      </c>
    </row>
    <row r="738" spans="1:5" x14ac:dyDescent="0.2">
      <c r="A738" s="83">
        <f t="shared" si="11"/>
        <v>80005</v>
      </c>
      <c r="B738" s="80">
        <v>80</v>
      </c>
      <c r="C738" s="80" t="s">
        <v>232</v>
      </c>
      <c r="D738" s="80">
        <v>5</v>
      </c>
      <c r="E738" s="87">
        <v>2203</v>
      </c>
    </row>
    <row r="739" spans="1:5" x14ac:dyDescent="0.2">
      <c r="A739" s="83">
        <f t="shared" si="11"/>
        <v>80006</v>
      </c>
      <c r="B739" s="80">
        <v>80</v>
      </c>
      <c r="C739" s="80" t="s">
        <v>232</v>
      </c>
      <c r="D739" s="80">
        <v>6</v>
      </c>
      <c r="E739" s="87">
        <v>2129</v>
      </c>
    </row>
    <row r="740" spans="1:5" x14ac:dyDescent="0.2">
      <c r="A740" s="83">
        <f t="shared" si="11"/>
        <v>80007</v>
      </c>
      <c r="B740" s="80">
        <v>80</v>
      </c>
      <c r="C740" s="80" t="s">
        <v>232</v>
      </c>
      <c r="D740" s="80">
        <v>7</v>
      </c>
      <c r="E740" s="87">
        <v>1909</v>
      </c>
    </row>
    <row r="741" spans="1:5" x14ac:dyDescent="0.2">
      <c r="A741" s="83">
        <f t="shared" si="11"/>
        <v>80008</v>
      </c>
      <c r="B741" s="80">
        <v>80</v>
      </c>
      <c r="C741" s="80" t="s">
        <v>232</v>
      </c>
      <c r="D741" s="80">
        <v>8</v>
      </c>
      <c r="E741" s="87">
        <v>2056</v>
      </c>
    </row>
    <row r="742" spans="1:5" x14ac:dyDescent="0.2">
      <c r="A742" s="83">
        <f t="shared" si="11"/>
        <v>80009</v>
      </c>
      <c r="B742" s="80">
        <v>80</v>
      </c>
      <c r="C742" s="80" t="s">
        <v>232</v>
      </c>
      <c r="D742" s="80">
        <v>9</v>
      </c>
      <c r="E742" s="87">
        <v>2129</v>
      </c>
    </row>
    <row r="743" spans="1:5" x14ac:dyDescent="0.2">
      <c r="A743" s="83">
        <f t="shared" si="11"/>
        <v>80010</v>
      </c>
      <c r="B743" s="80">
        <v>80</v>
      </c>
      <c r="C743" s="80" t="s">
        <v>232</v>
      </c>
      <c r="D743" s="80">
        <v>10</v>
      </c>
      <c r="E743" s="87">
        <v>2056</v>
      </c>
    </row>
    <row r="744" spans="1:5" x14ac:dyDescent="0.2">
      <c r="A744" s="83">
        <f t="shared" si="11"/>
        <v>80011</v>
      </c>
      <c r="B744" s="80">
        <v>80</v>
      </c>
      <c r="C744" s="80" t="s">
        <v>232</v>
      </c>
      <c r="D744" s="80">
        <v>11</v>
      </c>
      <c r="E744" s="87">
        <v>2129</v>
      </c>
    </row>
    <row r="745" spans="1:5" x14ac:dyDescent="0.2">
      <c r="A745" s="83">
        <f t="shared" si="11"/>
        <v>80012</v>
      </c>
      <c r="B745" s="80">
        <v>80</v>
      </c>
      <c r="C745" s="80" t="s">
        <v>232</v>
      </c>
      <c r="D745" s="80">
        <v>12</v>
      </c>
      <c r="E745" s="87">
        <v>2129</v>
      </c>
    </row>
    <row r="746" spans="1:5" x14ac:dyDescent="0.2">
      <c r="A746" s="83">
        <f t="shared" si="11"/>
        <v>80013</v>
      </c>
      <c r="B746" s="80">
        <v>80</v>
      </c>
      <c r="C746" s="80" t="s">
        <v>232</v>
      </c>
      <c r="D746" s="80">
        <v>13</v>
      </c>
      <c r="E746" s="87">
        <v>2056</v>
      </c>
    </row>
    <row r="747" spans="1:5" x14ac:dyDescent="0.2">
      <c r="A747" s="83">
        <f t="shared" si="11"/>
        <v>80014</v>
      </c>
      <c r="B747" s="80">
        <v>80</v>
      </c>
      <c r="C747" s="80" t="s">
        <v>232</v>
      </c>
      <c r="D747" s="80">
        <v>14</v>
      </c>
      <c r="E747" s="87">
        <v>2129</v>
      </c>
    </row>
    <row r="748" spans="1:5" x14ac:dyDescent="0.2">
      <c r="A748" s="83">
        <f t="shared" si="11"/>
        <v>80015</v>
      </c>
      <c r="B748" s="80">
        <v>80</v>
      </c>
      <c r="C748" s="80" t="s">
        <v>232</v>
      </c>
      <c r="D748" s="80">
        <v>15</v>
      </c>
      <c r="E748" s="87">
        <v>2129</v>
      </c>
    </row>
    <row r="749" spans="1:5" x14ac:dyDescent="0.2">
      <c r="A749" s="83">
        <f t="shared" si="11"/>
        <v>80016</v>
      </c>
      <c r="B749" s="80">
        <v>80</v>
      </c>
      <c r="C749" s="80" t="s">
        <v>232</v>
      </c>
      <c r="D749" s="80">
        <v>16</v>
      </c>
      <c r="E749" s="87">
        <v>2129</v>
      </c>
    </row>
    <row r="750" spans="1:5" x14ac:dyDescent="0.2">
      <c r="A750" s="83">
        <f t="shared" si="11"/>
        <v>80017</v>
      </c>
      <c r="B750" s="80">
        <v>80</v>
      </c>
      <c r="C750" s="80" t="s">
        <v>232</v>
      </c>
      <c r="D750" s="80">
        <v>17</v>
      </c>
      <c r="E750" s="87">
        <v>2056</v>
      </c>
    </row>
    <row r="751" spans="1:5" x14ac:dyDescent="0.2">
      <c r="A751" s="83">
        <f t="shared" si="11"/>
        <v>80018</v>
      </c>
      <c r="B751" s="80">
        <v>80</v>
      </c>
      <c r="C751" s="80" t="s">
        <v>232</v>
      </c>
      <c r="D751" s="80">
        <v>18</v>
      </c>
      <c r="E751" s="87">
        <v>2129</v>
      </c>
    </row>
    <row r="752" spans="1:5" x14ac:dyDescent="0.2">
      <c r="A752" s="83">
        <f t="shared" si="11"/>
        <v>80019</v>
      </c>
      <c r="B752" s="80">
        <v>80</v>
      </c>
      <c r="C752" s="80" t="s">
        <v>232</v>
      </c>
      <c r="D752" s="80">
        <v>19</v>
      </c>
      <c r="E752" s="87">
        <v>2056</v>
      </c>
    </row>
    <row r="753" spans="1:5" x14ac:dyDescent="0.2">
      <c r="A753" s="83">
        <f t="shared" si="11"/>
        <v>81001</v>
      </c>
      <c r="B753" s="80">
        <v>81</v>
      </c>
      <c r="C753" s="80" t="s">
        <v>233</v>
      </c>
      <c r="D753" s="80">
        <v>1</v>
      </c>
      <c r="E753" s="87">
        <v>1694</v>
      </c>
    </row>
    <row r="754" spans="1:5" x14ac:dyDescent="0.2">
      <c r="A754" s="83">
        <f t="shared" si="11"/>
        <v>81002</v>
      </c>
      <c r="B754" s="80">
        <v>81</v>
      </c>
      <c r="C754" s="80" t="s">
        <v>233</v>
      </c>
      <c r="D754" s="80">
        <v>2</v>
      </c>
      <c r="E754" s="87">
        <v>1694</v>
      </c>
    </row>
    <row r="755" spans="1:5" x14ac:dyDescent="0.2">
      <c r="A755" s="83">
        <f t="shared" si="11"/>
        <v>81003</v>
      </c>
      <c r="B755" s="80">
        <v>81</v>
      </c>
      <c r="C755" s="80" t="s">
        <v>233</v>
      </c>
      <c r="D755" s="80">
        <v>3</v>
      </c>
      <c r="E755" s="87">
        <v>1694</v>
      </c>
    </row>
    <row r="756" spans="1:5" x14ac:dyDescent="0.2">
      <c r="A756" s="83">
        <f t="shared" si="11"/>
        <v>81004</v>
      </c>
      <c r="B756" s="80">
        <v>81</v>
      </c>
      <c r="C756" s="80" t="s">
        <v>233</v>
      </c>
      <c r="D756" s="80">
        <v>4</v>
      </c>
      <c r="E756" s="87">
        <v>1694</v>
      </c>
    </row>
    <row r="757" spans="1:5" x14ac:dyDescent="0.2">
      <c r="A757" s="83">
        <f t="shared" si="11"/>
        <v>81005</v>
      </c>
      <c r="B757" s="80">
        <v>81</v>
      </c>
      <c r="C757" s="80" t="s">
        <v>233</v>
      </c>
      <c r="D757" s="80">
        <v>5</v>
      </c>
      <c r="E757" s="87">
        <v>1694</v>
      </c>
    </row>
    <row r="758" spans="1:5" x14ac:dyDescent="0.2">
      <c r="A758" s="83">
        <f t="shared" si="11"/>
        <v>82001</v>
      </c>
      <c r="B758" s="80">
        <v>82</v>
      </c>
      <c r="C758" s="80" t="s">
        <v>234</v>
      </c>
      <c r="D758" s="80">
        <v>1</v>
      </c>
      <c r="E758" s="87">
        <v>4586</v>
      </c>
    </row>
    <row r="759" spans="1:5" x14ac:dyDescent="0.2">
      <c r="A759" s="83">
        <f t="shared" si="11"/>
        <v>82002</v>
      </c>
      <c r="B759" s="80">
        <v>82</v>
      </c>
      <c r="C759" s="80" t="s">
        <v>234</v>
      </c>
      <c r="D759" s="80">
        <v>2</v>
      </c>
      <c r="E759" s="87">
        <v>4586</v>
      </c>
    </row>
    <row r="760" spans="1:5" x14ac:dyDescent="0.2">
      <c r="A760" s="83">
        <f t="shared" si="11"/>
        <v>82003</v>
      </c>
      <c r="B760" s="80">
        <v>82</v>
      </c>
      <c r="C760" s="80" t="s">
        <v>234</v>
      </c>
      <c r="D760" s="80">
        <v>3</v>
      </c>
      <c r="E760" s="87">
        <v>4586</v>
      </c>
    </row>
    <row r="761" spans="1:5" x14ac:dyDescent="0.2">
      <c r="A761" s="83">
        <f t="shared" si="11"/>
        <v>82004</v>
      </c>
      <c r="B761" s="80">
        <v>82</v>
      </c>
      <c r="C761" s="80" t="s">
        <v>234</v>
      </c>
      <c r="D761" s="80">
        <v>4</v>
      </c>
      <c r="E761" s="87">
        <v>4586</v>
      </c>
    </row>
    <row r="762" spans="1:5" x14ac:dyDescent="0.2">
      <c r="A762" s="83">
        <f t="shared" si="11"/>
        <v>82005</v>
      </c>
      <c r="B762" s="80">
        <v>82</v>
      </c>
      <c r="C762" s="80" t="s">
        <v>234</v>
      </c>
      <c r="D762" s="80">
        <v>5</v>
      </c>
      <c r="E762" s="87">
        <v>4586</v>
      </c>
    </row>
    <row r="763" spans="1:5" x14ac:dyDescent="0.2">
      <c r="A763" s="83">
        <f t="shared" si="11"/>
        <v>82006</v>
      </c>
      <c r="B763" s="80">
        <v>82</v>
      </c>
      <c r="C763" s="80" t="s">
        <v>234</v>
      </c>
      <c r="D763" s="80">
        <v>6</v>
      </c>
      <c r="E763" s="87">
        <v>4586</v>
      </c>
    </row>
    <row r="764" spans="1:5" x14ac:dyDescent="0.2">
      <c r="A764" s="83">
        <f t="shared" si="11"/>
        <v>82007</v>
      </c>
      <c r="B764" s="80">
        <v>82</v>
      </c>
      <c r="C764" s="80" t="s">
        <v>234</v>
      </c>
      <c r="D764" s="80">
        <v>7</v>
      </c>
      <c r="E764" s="87">
        <v>4686</v>
      </c>
    </row>
    <row r="765" spans="1:5" x14ac:dyDescent="0.2">
      <c r="A765" s="83">
        <f t="shared" si="11"/>
        <v>82008</v>
      </c>
      <c r="B765" s="80">
        <v>82</v>
      </c>
      <c r="C765" s="80" t="s">
        <v>234</v>
      </c>
      <c r="D765" s="80">
        <v>8</v>
      </c>
      <c r="E765" s="87">
        <v>4586</v>
      </c>
    </row>
    <row r="766" spans="1:5" x14ac:dyDescent="0.2">
      <c r="A766" s="83">
        <f t="shared" si="11"/>
        <v>82009</v>
      </c>
      <c r="B766" s="80">
        <v>82</v>
      </c>
      <c r="C766" s="80" t="s">
        <v>234</v>
      </c>
      <c r="D766" s="80">
        <v>9</v>
      </c>
      <c r="E766" s="87">
        <v>4586</v>
      </c>
    </row>
    <row r="767" spans="1:5" x14ac:dyDescent="0.2">
      <c r="A767" s="83">
        <f t="shared" si="11"/>
        <v>82010</v>
      </c>
      <c r="B767" s="80">
        <v>82</v>
      </c>
      <c r="C767" s="80" t="s">
        <v>234</v>
      </c>
      <c r="D767" s="80">
        <v>10</v>
      </c>
      <c r="E767" s="87">
        <v>4459</v>
      </c>
    </row>
    <row r="768" spans="1:5" x14ac:dyDescent="0.2">
      <c r="A768" s="83">
        <f t="shared" si="11"/>
        <v>82011</v>
      </c>
      <c r="B768" s="80">
        <v>82</v>
      </c>
      <c r="C768" s="80" t="s">
        <v>234</v>
      </c>
      <c r="D768" s="80">
        <v>11</v>
      </c>
      <c r="E768" s="87">
        <v>4586</v>
      </c>
    </row>
    <row r="769" spans="1:5" x14ac:dyDescent="0.2">
      <c r="A769" s="83">
        <f t="shared" si="11"/>
        <v>82012</v>
      </c>
      <c r="B769" s="80">
        <v>82</v>
      </c>
      <c r="C769" s="80" t="s">
        <v>234</v>
      </c>
      <c r="D769" s="80">
        <v>12</v>
      </c>
      <c r="E769" s="87">
        <v>4586</v>
      </c>
    </row>
    <row r="770" spans="1:5" x14ac:dyDescent="0.2">
      <c r="A770" s="83">
        <f t="shared" si="11"/>
        <v>82013</v>
      </c>
      <c r="B770" s="80">
        <v>82</v>
      </c>
      <c r="C770" s="80" t="s">
        <v>234</v>
      </c>
      <c r="D770" s="80">
        <v>13</v>
      </c>
      <c r="E770" s="87">
        <v>4586</v>
      </c>
    </row>
    <row r="771" spans="1:5" x14ac:dyDescent="0.2">
      <c r="A771" s="83">
        <f t="shared" ref="A771:A834" si="12">+B771*1000+D771</f>
        <v>82014</v>
      </c>
      <c r="B771" s="80">
        <v>82</v>
      </c>
      <c r="C771" s="80" t="s">
        <v>234</v>
      </c>
      <c r="D771" s="80">
        <v>14</v>
      </c>
      <c r="E771" s="87">
        <v>4586</v>
      </c>
    </row>
    <row r="772" spans="1:5" x14ac:dyDescent="0.2">
      <c r="A772" s="83">
        <f t="shared" si="12"/>
        <v>82015</v>
      </c>
      <c r="B772" s="80">
        <v>82</v>
      </c>
      <c r="C772" s="80" t="s">
        <v>234</v>
      </c>
      <c r="D772" s="80">
        <v>15</v>
      </c>
      <c r="E772" s="87">
        <v>4586</v>
      </c>
    </row>
    <row r="773" spans="1:5" x14ac:dyDescent="0.2">
      <c r="A773" s="83">
        <f t="shared" si="12"/>
        <v>82016</v>
      </c>
      <c r="B773" s="80">
        <v>82</v>
      </c>
      <c r="C773" s="80" t="s">
        <v>234</v>
      </c>
      <c r="D773" s="80">
        <v>16</v>
      </c>
      <c r="E773" s="87">
        <v>4586</v>
      </c>
    </row>
    <row r="774" spans="1:5" x14ac:dyDescent="0.2">
      <c r="A774" s="83">
        <f t="shared" si="12"/>
        <v>82017</v>
      </c>
      <c r="B774" s="80">
        <v>82</v>
      </c>
      <c r="C774" s="80" t="s">
        <v>234</v>
      </c>
      <c r="D774" s="80">
        <v>17</v>
      </c>
      <c r="E774" s="87">
        <v>4586</v>
      </c>
    </row>
    <row r="775" spans="1:5" x14ac:dyDescent="0.2">
      <c r="A775" s="83">
        <f t="shared" si="12"/>
        <v>82018</v>
      </c>
      <c r="B775" s="80">
        <v>82</v>
      </c>
      <c r="C775" s="80" t="s">
        <v>234</v>
      </c>
      <c r="D775" s="80">
        <v>18</v>
      </c>
      <c r="E775" s="87">
        <v>4459</v>
      </c>
    </row>
    <row r="776" spans="1:5" x14ac:dyDescent="0.2">
      <c r="A776" s="83">
        <f t="shared" si="12"/>
        <v>82019</v>
      </c>
      <c r="B776" s="80">
        <v>82</v>
      </c>
      <c r="C776" s="80" t="s">
        <v>234</v>
      </c>
      <c r="D776" s="80">
        <v>19</v>
      </c>
      <c r="E776" s="87">
        <v>4459</v>
      </c>
    </row>
    <row r="777" spans="1:5" x14ac:dyDescent="0.2">
      <c r="A777" s="83">
        <f t="shared" si="12"/>
        <v>82020</v>
      </c>
      <c r="B777" s="80">
        <v>82</v>
      </c>
      <c r="C777" s="80" t="s">
        <v>234</v>
      </c>
      <c r="D777" s="80">
        <v>20</v>
      </c>
      <c r="E777" s="87">
        <v>4459</v>
      </c>
    </row>
    <row r="778" spans="1:5" x14ac:dyDescent="0.2">
      <c r="A778" s="83">
        <f t="shared" si="12"/>
        <v>82021</v>
      </c>
      <c r="B778" s="80">
        <v>82</v>
      </c>
      <c r="C778" s="80" t="s">
        <v>234</v>
      </c>
      <c r="D778" s="80">
        <v>21</v>
      </c>
      <c r="E778" s="87">
        <v>4586</v>
      </c>
    </row>
    <row r="779" spans="1:5" x14ac:dyDescent="0.2">
      <c r="A779" s="83">
        <f t="shared" si="12"/>
        <v>82022</v>
      </c>
      <c r="B779" s="80">
        <v>82</v>
      </c>
      <c r="C779" s="80" t="s">
        <v>234</v>
      </c>
      <c r="D779" s="80">
        <v>22</v>
      </c>
      <c r="E779" s="87">
        <v>4586</v>
      </c>
    </row>
    <row r="780" spans="1:5" x14ac:dyDescent="0.2">
      <c r="A780" s="83">
        <f t="shared" si="12"/>
        <v>82023</v>
      </c>
      <c r="B780" s="80">
        <v>82</v>
      </c>
      <c r="C780" s="80" t="s">
        <v>234</v>
      </c>
      <c r="D780" s="80">
        <v>23</v>
      </c>
      <c r="E780" s="87">
        <v>4586</v>
      </c>
    </row>
    <row r="781" spans="1:5" x14ac:dyDescent="0.2">
      <c r="A781" s="83">
        <f t="shared" si="12"/>
        <v>82024</v>
      </c>
      <c r="B781" s="80">
        <v>82</v>
      </c>
      <c r="C781" s="80" t="s">
        <v>234</v>
      </c>
      <c r="D781" s="80">
        <v>24</v>
      </c>
      <c r="E781" s="87">
        <v>4586</v>
      </c>
    </row>
    <row r="782" spans="1:5" x14ac:dyDescent="0.2">
      <c r="A782" s="83">
        <f t="shared" si="12"/>
        <v>83002</v>
      </c>
      <c r="B782" s="80">
        <v>83</v>
      </c>
      <c r="C782" s="80" t="s">
        <v>235</v>
      </c>
      <c r="D782" s="80">
        <v>2</v>
      </c>
      <c r="E782" s="87">
        <v>1588</v>
      </c>
    </row>
    <row r="783" spans="1:5" x14ac:dyDescent="0.2">
      <c r="A783" s="83">
        <f t="shared" si="12"/>
        <v>83003</v>
      </c>
      <c r="B783" s="80">
        <v>83</v>
      </c>
      <c r="C783" s="80" t="s">
        <v>235</v>
      </c>
      <c r="D783" s="80">
        <v>3</v>
      </c>
      <c r="E783" s="87">
        <v>1475</v>
      </c>
    </row>
    <row r="784" spans="1:5" x14ac:dyDescent="0.2">
      <c r="A784" s="83">
        <f t="shared" si="12"/>
        <v>83004</v>
      </c>
      <c r="B784" s="80">
        <v>83</v>
      </c>
      <c r="C784" s="80" t="s">
        <v>235</v>
      </c>
      <c r="D784" s="80">
        <v>4</v>
      </c>
      <c r="E784" s="87">
        <v>1475</v>
      </c>
    </row>
    <row r="785" spans="1:5" x14ac:dyDescent="0.2">
      <c r="A785" s="83">
        <f t="shared" si="12"/>
        <v>83005</v>
      </c>
      <c r="B785" s="80">
        <v>83</v>
      </c>
      <c r="C785" s="80" t="s">
        <v>235</v>
      </c>
      <c r="D785" s="80">
        <v>5</v>
      </c>
      <c r="E785" s="87">
        <v>1475</v>
      </c>
    </row>
    <row r="786" spans="1:5" x14ac:dyDescent="0.2">
      <c r="A786" s="83">
        <f t="shared" si="12"/>
        <v>83006</v>
      </c>
      <c r="B786" s="80">
        <v>83</v>
      </c>
      <c r="C786" s="80" t="s">
        <v>235</v>
      </c>
      <c r="D786" s="80">
        <v>6</v>
      </c>
      <c r="E786" s="87">
        <v>1588</v>
      </c>
    </row>
    <row r="787" spans="1:5" x14ac:dyDescent="0.2">
      <c r="A787" s="83">
        <f t="shared" si="12"/>
        <v>83007</v>
      </c>
      <c r="B787" s="80">
        <v>83</v>
      </c>
      <c r="C787" s="80" t="s">
        <v>235</v>
      </c>
      <c r="D787" s="80">
        <v>7</v>
      </c>
      <c r="E787" s="87">
        <v>1475</v>
      </c>
    </row>
    <row r="788" spans="1:5" x14ac:dyDescent="0.2">
      <c r="A788" s="83">
        <f t="shared" si="12"/>
        <v>84001</v>
      </c>
      <c r="B788" s="80">
        <v>84</v>
      </c>
      <c r="C788" s="80" t="s">
        <v>236</v>
      </c>
      <c r="D788" s="80">
        <v>1</v>
      </c>
      <c r="E788" s="87">
        <v>4283</v>
      </c>
    </row>
    <row r="789" spans="1:5" x14ac:dyDescent="0.2">
      <c r="A789" s="83">
        <f t="shared" si="12"/>
        <v>84002</v>
      </c>
      <c r="B789" s="80">
        <v>84</v>
      </c>
      <c r="C789" s="80" t="s">
        <v>236</v>
      </c>
      <c r="D789" s="80">
        <v>2</v>
      </c>
      <c r="E789" s="87">
        <v>4283</v>
      </c>
    </row>
    <row r="790" spans="1:5" x14ac:dyDescent="0.2">
      <c r="A790" s="83">
        <f t="shared" si="12"/>
        <v>84003</v>
      </c>
      <c r="B790" s="80">
        <v>84</v>
      </c>
      <c r="C790" s="80" t="s">
        <v>236</v>
      </c>
      <c r="D790" s="80">
        <v>3</v>
      </c>
      <c r="E790" s="87">
        <v>4283</v>
      </c>
    </row>
    <row r="791" spans="1:5" x14ac:dyDescent="0.2">
      <c r="A791" s="83">
        <f t="shared" si="12"/>
        <v>84004</v>
      </c>
      <c r="B791" s="80">
        <v>84</v>
      </c>
      <c r="C791" s="80" t="s">
        <v>236</v>
      </c>
      <c r="D791" s="80">
        <v>4</v>
      </c>
      <c r="E791" s="87">
        <v>4283</v>
      </c>
    </row>
    <row r="792" spans="1:5" x14ac:dyDescent="0.2">
      <c r="A792" s="83">
        <f t="shared" si="12"/>
        <v>84005</v>
      </c>
      <c r="B792" s="80">
        <v>84</v>
      </c>
      <c r="C792" s="80" t="s">
        <v>236</v>
      </c>
      <c r="D792" s="80">
        <v>5</v>
      </c>
      <c r="E792" s="87">
        <v>4283</v>
      </c>
    </row>
    <row r="793" spans="1:5" x14ac:dyDescent="0.2">
      <c r="A793" s="83">
        <f t="shared" si="12"/>
        <v>84006</v>
      </c>
      <c r="B793" s="80">
        <v>84</v>
      </c>
      <c r="C793" s="80" t="s">
        <v>236</v>
      </c>
      <c r="D793" s="80">
        <v>6</v>
      </c>
      <c r="E793" s="87">
        <v>4283</v>
      </c>
    </row>
    <row r="794" spans="1:5" x14ac:dyDescent="0.2">
      <c r="A794" s="83">
        <f t="shared" si="12"/>
        <v>84007</v>
      </c>
      <c r="B794" s="80">
        <v>84</v>
      </c>
      <c r="C794" s="80" t="s">
        <v>236</v>
      </c>
      <c r="D794" s="80">
        <v>7</v>
      </c>
      <c r="E794" s="87">
        <v>4283</v>
      </c>
    </row>
    <row r="795" spans="1:5" x14ac:dyDescent="0.2">
      <c r="A795" s="83">
        <f t="shared" si="12"/>
        <v>84008</v>
      </c>
      <c r="B795" s="80">
        <v>84</v>
      </c>
      <c r="C795" s="80" t="s">
        <v>236</v>
      </c>
      <c r="D795" s="80">
        <v>8</v>
      </c>
      <c r="E795" s="87">
        <v>4283</v>
      </c>
    </row>
    <row r="796" spans="1:5" x14ac:dyDescent="0.2">
      <c r="A796" s="83">
        <f t="shared" si="12"/>
        <v>84009</v>
      </c>
      <c r="B796" s="80">
        <v>84</v>
      </c>
      <c r="C796" s="80" t="s">
        <v>236</v>
      </c>
      <c r="D796" s="80">
        <v>9</v>
      </c>
      <c r="E796" s="87">
        <v>4283</v>
      </c>
    </row>
    <row r="797" spans="1:5" x14ac:dyDescent="0.2">
      <c r="A797" s="83">
        <f t="shared" si="12"/>
        <v>84010</v>
      </c>
      <c r="B797" s="80">
        <v>84</v>
      </c>
      <c r="C797" s="80" t="s">
        <v>236</v>
      </c>
      <c r="D797" s="80">
        <v>10</v>
      </c>
      <c r="E797" s="87">
        <v>4283</v>
      </c>
    </row>
    <row r="798" spans="1:5" x14ac:dyDescent="0.2">
      <c r="A798" s="83">
        <f t="shared" si="12"/>
        <v>84011</v>
      </c>
      <c r="B798" s="80">
        <v>84</v>
      </c>
      <c r="C798" s="80" t="s">
        <v>236</v>
      </c>
      <c r="D798" s="80">
        <v>11</v>
      </c>
      <c r="E798" s="87">
        <v>4283</v>
      </c>
    </row>
    <row r="799" spans="1:5" x14ac:dyDescent="0.2">
      <c r="A799" s="83">
        <f t="shared" si="12"/>
        <v>85001</v>
      </c>
      <c r="B799" s="80">
        <v>85</v>
      </c>
      <c r="C799" s="80" t="s">
        <v>237</v>
      </c>
      <c r="D799" s="80">
        <v>1</v>
      </c>
      <c r="E799" s="87">
        <v>1001</v>
      </c>
    </row>
    <row r="800" spans="1:5" x14ac:dyDescent="0.2">
      <c r="A800" s="83">
        <f t="shared" si="12"/>
        <v>85002</v>
      </c>
      <c r="B800" s="80">
        <v>85</v>
      </c>
      <c r="C800" s="80" t="s">
        <v>237</v>
      </c>
      <c r="D800" s="80">
        <v>2</v>
      </c>
      <c r="E800" s="87">
        <v>1001</v>
      </c>
    </row>
    <row r="801" spans="1:5" x14ac:dyDescent="0.2">
      <c r="A801" s="83">
        <f t="shared" si="12"/>
        <v>85003</v>
      </c>
      <c r="B801" s="80">
        <v>85</v>
      </c>
      <c r="C801" s="80" t="s">
        <v>237</v>
      </c>
      <c r="D801" s="80">
        <v>3</v>
      </c>
      <c r="E801" s="87">
        <v>1001</v>
      </c>
    </row>
    <row r="802" spans="1:5" x14ac:dyDescent="0.2">
      <c r="A802" s="83">
        <f t="shared" si="12"/>
        <v>85004</v>
      </c>
      <c r="B802" s="80">
        <v>85</v>
      </c>
      <c r="C802" s="80" t="s">
        <v>237</v>
      </c>
      <c r="D802" s="80">
        <v>4</v>
      </c>
      <c r="E802" s="80">
        <v>910</v>
      </c>
    </row>
    <row r="803" spans="1:5" x14ac:dyDescent="0.2">
      <c r="A803" s="83">
        <f t="shared" si="12"/>
        <v>85005</v>
      </c>
      <c r="B803" s="80">
        <v>85</v>
      </c>
      <c r="C803" s="80" t="s">
        <v>237</v>
      </c>
      <c r="D803" s="80">
        <v>5</v>
      </c>
      <c r="E803" s="80">
        <v>880</v>
      </c>
    </row>
    <row r="804" spans="1:5" x14ac:dyDescent="0.2">
      <c r="A804" s="83">
        <f t="shared" si="12"/>
        <v>85006</v>
      </c>
      <c r="B804" s="80">
        <v>85</v>
      </c>
      <c r="C804" s="80" t="s">
        <v>237</v>
      </c>
      <c r="D804" s="80">
        <v>6</v>
      </c>
      <c r="E804" s="80">
        <v>910</v>
      </c>
    </row>
    <row r="805" spans="1:5" x14ac:dyDescent="0.2">
      <c r="A805" s="83">
        <f t="shared" si="12"/>
        <v>85007</v>
      </c>
      <c r="B805" s="80">
        <v>85</v>
      </c>
      <c r="C805" s="80" t="s">
        <v>237</v>
      </c>
      <c r="D805" s="80">
        <v>7</v>
      </c>
      <c r="E805" s="80">
        <v>880</v>
      </c>
    </row>
    <row r="806" spans="1:5" x14ac:dyDescent="0.2">
      <c r="A806" s="83">
        <f t="shared" si="12"/>
        <v>85008</v>
      </c>
      <c r="B806" s="80">
        <v>85</v>
      </c>
      <c r="C806" s="80" t="s">
        <v>237</v>
      </c>
      <c r="D806" s="80">
        <v>8</v>
      </c>
      <c r="E806" s="80">
        <v>880</v>
      </c>
    </row>
    <row r="807" spans="1:5" x14ac:dyDescent="0.2">
      <c r="A807" s="83">
        <f t="shared" si="12"/>
        <v>85009</v>
      </c>
      <c r="B807" s="80">
        <v>85</v>
      </c>
      <c r="C807" s="80" t="s">
        <v>237</v>
      </c>
      <c r="D807" s="80">
        <v>9</v>
      </c>
      <c r="E807" s="80">
        <v>667</v>
      </c>
    </row>
    <row r="808" spans="1:5" x14ac:dyDescent="0.2">
      <c r="A808" s="83">
        <f t="shared" si="12"/>
        <v>85010</v>
      </c>
      <c r="B808" s="80">
        <v>85</v>
      </c>
      <c r="C808" s="80" t="s">
        <v>237</v>
      </c>
      <c r="D808" s="80">
        <v>10</v>
      </c>
      <c r="E808" s="80">
        <v>667</v>
      </c>
    </row>
    <row r="809" spans="1:5" x14ac:dyDescent="0.2">
      <c r="A809" s="83">
        <f t="shared" si="12"/>
        <v>85011</v>
      </c>
      <c r="B809" s="80">
        <v>85</v>
      </c>
      <c r="C809" s="80" t="s">
        <v>237</v>
      </c>
      <c r="D809" s="80">
        <v>11</v>
      </c>
      <c r="E809" s="80">
        <v>880</v>
      </c>
    </row>
    <row r="810" spans="1:5" x14ac:dyDescent="0.2">
      <c r="A810" s="83">
        <f t="shared" si="12"/>
        <v>85012</v>
      </c>
      <c r="B810" s="80">
        <v>85</v>
      </c>
      <c r="C810" s="80" t="s">
        <v>237</v>
      </c>
      <c r="D810" s="80">
        <v>12</v>
      </c>
      <c r="E810" s="87">
        <v>1001</v>
      </c>
    </row>
    <row r="811" spans="1:5" x14ac:dyDescent="0.2">
      <c r="A811" s="83">
        <f t="shared" si="12"/>
        <v>86001</v>
      </c>
      <c r="B811" s="80">
        <v>86</v>
      </c>
      <c r="C811" s="80" t="s">
        <v>238</v>
      </c>
      <c r="D811" s="80">
        <v>1</v>
      </c>
      <c r="E811" s="87">
        <v>10977</v>
      </c>
    </row>
    <row r="812" spans="1:5" x14ac:dyDescent="0.2">
      <c r="A812" s="83">
        <f t="shared" si="12"/>
        <v>86002</v>
      </c>
      <c r="B812" s="80">
        <v>86</v>
      </c>
      <c r="C812" s="80" t="s">
        <v>238</v>
      </c>
      <c r="D812" s="80">
        <v>2</v>
      </c>
      <c r="E812" s="87">
        <v>10611</v>
      </c>
    </row>
    <row r="813" spans="1:5" x14ac:dyDescent="0.2">
      <c r="A813" s="83">
        <f t="shared" si="12"/>
        <v>86003</v>
      </c>
      <c r="B813" s="80">
        <v>86</v>
      </c>
      <c r="C813" s="80" t="s">
        <v>238</v>
      </c>
      <c r="D813" s="80">
        <v>3</v>
      </c>
      <c r="E813" s="87">
        <v>10977</v>
      </c>
    </row>
    <row r="814" spans="1:5" x14ac:dyDescent="0.2">
      <c r="A814" s="83">
        <f t="shared" si="12"/>
        <v>86004</v>
      </c>
      <c r="B814" s="80">
        <v>86</v>
      </c>
      <c r="C814" s="80" t="s">
        <v>238</v>
      </c>
      <c r="D814" s="80">
        <v>4</v>
      </c>
      <c r="E814" s="87">
        <v>10977</v>
      </c>
    </row>
    <row r="815" spans="1:5" x14ac:dyDescent="0.2">
      <c r="A815" s="83">
        <f t="shared" si="12"/>
        <v>86005</v>
      </c>
      <c r="B815" s="80">
        <v>86</v>
      </c>
      <c r="C815" s="80" t="s">
        <v>238</v>
      </c>
      <c r="D815" s="80">
        <v>5</v>
      </c>
      <c r="E815" s="87">
        <v>10977</v>
      </c>
    </row>
    <row r="816" spans="1:5" x14ac:dyDescent="0.2">
      <c r="A816" s="83">
        <f t="shared" si="12"/>
        <v>86006</v>
      </c>
      <c r="B816" s="80">
        <v>86</v>
      </c>
      <c r="C816" s="80" t="s">
        <v>238</v>
      </c>
      <c r="D816" s="80">
        <v>6</v>
      </c>
      <c r="E816" s="87">
        <v>10611</v>
      </c>
    </row>
    <row r="817" spans="1:5" x14ac:dyDescent="0.2">
      <c r="A817" s="83">
        <f t="shared" si="12"/>
        <v>86007</v>
      </c>
      <c r="B817" s="80">
        <v>86</v>
      </c>
      <c r="C817" s="80" t="s">
        <v>238</v>
      </c>
      <c r="D817" s="80">
        <v>7</v>
      </c>
      <c r="E817" s="87">
        <v>10611</v>
      </c>
    </row>
    <row r="818" spans="1:5" x14ac:dyDescent="0.2">
      <c r="A818" s="83">
        <f t="shared" si="12"/>
        <v>86008</v>
      </c>
      <c r="B818" s="80">
        <v>86</v>
      </c>
      <c r="C818" s="80" t="s">
        <v>238</v>
      </c>
      <c r="D818" s="80">
        <v>8</v>
      </c>
      <c r="E818" s="87">
        <v>10977</v>
      </c>
    </row>
    <row r="819" spans="1:5" x14ac:dyDescent="0.2">
      <c r="A819" s="83">
        <f t="shared" si="12"/>
        <v>87002</v>
      </c>
      <c r="B819" s="80">
        <v>87</v>
      </c>
      <c r="C819" s="80" t="s">
        <v>239</v>
      </c>
      <c r="D819" s="80">
        <v>2</v>
      </c>
      <c r="E819" s="87">
        <v>3857</v>
      </c>
    </row>
    <row r="820" spans="1:5" x14ac:dyDescent="0.2">
      <c r="A820" s="83">
        <f t="shared" si="12"/>
        <v>87004</v>
      </c>
      <c r="B820" s="80">
        <v>87</v>
      </c>
      <c r="C820" s="80" t="s">
        <v>239</v>
      </c>
      <c r="D820" s="80">
        <v>4</v>
      </c>
      <c r="E820" s="87">
        <v>3857</v>
      </c>
    </row>
    <row r="821" spans="1:5" x14ac:dyDescent="0.2">
      <c r="A821" s="83">
        <f t="shared" si="12"/>
        <v>87005</v>
      </c>
      <c r="B821" s="80">
        <v>87</v>
      </c>
      <c r="C821" s="80" t="s">
        <v>239</v>
      </c>
      <c r="D821" s="80">
        <v>5</v>
      </c>
      <c r="E821" s="87">
        <v>3857</v>
      </c>
    </row>
    <row r="822" spans="1:5" x14ac:dyDescent="0.2">
      <c r="A822" s="83">
        <f t="shared" si="12"/>
        <v>87006</v>
      </c>
      <c r="B822" s="80">
        <v>87</v>
      </c>
      <c r="C822" s="80" t="s">
        <v>239</v>
      </c>
      <c r="D822" s="80">
        <v>6</v>
      </c>
      <c r="E822" s="87">
        <v>3857</v>
      </c>
    </row>
    <row r="823" spans="1:5" x14ac:dyDescent="0.2">
      <c r="A823" s="83">
        <f t="shared" si="12"/>
        <v>87007</v>
      </c>
      <c r="B823" s="80">
        <v>87</v>
      </c>
      <c r="C823" s="80" t="s">
        <v>239</v>
      </c>
      <c r="D823" s="80">
        <v>7</v>
      </c>
      <c r="E823" s="87">
        <v>3857</v>
      </c>
    </row>
    <row r="824" spans="1:5" x14ac:dyDescent="0.2">
      <c r="A824" s="83">
        <f t="shared" si="12"/>
        <v>87008</v>
      </c>
      <c r="B824" s="80">
        <v>87</v>
      </c>
      <c r="C824" s="80" t="s">
        <v>239</v>
      </c>
      <c r="D824" s="80">
        <v>8</v>
      </c>
      <c r="E824" s="87">
        <v>3857</v>
      </c>
    </row>
    <row r="825" spans="1:5" x14ac:dyDescent="0.2">
      <c r="A825" s="83">
        <f t="shared" si="12"/>
        <v>87009</v>
      </c>
      <c r="B825" s="80">
        <v>87</v>
      </c>
      <c r="C825" s="80" t="s">
        <v>239</v>
      </c>
      <c r="D825" s="80">
        <v>9</v>
      </c>
      <c r="E825" s="87">
        <v>3857</v>
      </c>
    </row>
    <row r="826" spans="1:5" x14ac:dyDescent="0.2">
      <c r="A826" s="83">
        <f t="shared" si="12"/>
        <v>87010</v>
      </c>
      <c r="B826" s="80">
        <v>87</v>
      </c>
      <c r="C826" s="80" t="s">
        <v>239</v>
      </c>
      <c r="D826" s="80">
        <v>10</v>
      </c>
      <c r="E826" s="87">
        <v>3857</v>
      </c>
    </row>
    <row r="827" spans="1:5" x14ac:dyDescent="0.2">
      <c r="A827" s="83">
        <f t="shared" si="12"/>
        <v>87011</v>
      </c>
      <c r="B827" s="80">
        <v>87</v>
      </c>
      <c r="C827" s="80" t="s">
        <v>239</v>
      </c>
      <c r="D827" s="80">
        <v>11</v>
      </c>
      <c r="E827" s="87">
        <v>3857</v>
      </c>
    </row>
    <row r="828" spans="1:5" x14ac:dyDescent="0.2">
      <c r="A828" s="83">
        <f t="shared" si="12"/>
        <v>87012</v>
      </c>
      <c r="B828" s="80">
        <v>87</v>
      </c>
      <c r="C828" s="80" t="s">
        <v>239</v>
      </c>
      <c r="D828" s="80">
        <v>12</v>
      </c>
      <c r="E828" s="87">
        <v>3857</v>
      </c>
    </row>
    <row r="829" spans="1:5" x14ac:dyDescent="0.2">
      <c r="A829" s="83">
        <f t="shared" si="12"/>
        <v>87013</v>
      </c>
      <c r="B829" s="80">
        <v>87</v>
      </c>
      <c r="C829" s="80" t="s">
        <v>239</v>
      </c>
      <c r="D829" s="80">
        <v>13</v>
      </c>
      <c r="E829" s="87">
        <v>3857</v>
      </c>
    </row>
    <row r="830" spans="1:5" x14ac:dyDescent="0.2">
      <c r="A830" s="83">
        <f t="shared" si="12"/>
        <v>88001</v>
      </c>
      <c r="B830" s="80">
        <v>88</v>
      </c>
      <c r="C830" s="80" t="s">
        <v>240</v>
      </c>
      <c r="D830" s="80">
        <v>1</v>
      </c>
      <c r="E830" s="87">
        <v>1524</v>
      </c>
    </row>
    <row r="831" spans="1:5" x14ac:dyDescent="0.2">
      <c r="A831" s="83">
        <f t="shared" si="12"/>
        <v>88002</v>
      </c>
      <c r="B831" s="80">
        <v>88</v>
      </c>
      <c r="C831" s="80" t="s">
        <v>240</v>
      </c>
      <c r="D831" s="80">
        <v>2</v>
      </c>
      <c r="E831" s="87">
        <v>1524</v>
      </c>
    </row>
    <row r="832" spans="1:5" x14ac:dyDescent="0.2">
      <c r="A832" s="83">
        <f t="shared" si="12"/>
        <v>88003</v>
      </c>
      <c r="B832" s="80">
        <v>88</v>
      </c>
      <c r="C832" s="80" t="s">
        <v>240</v>
      </c>
      <c r="D832" s="80">
        <v>3</v>
      </c>
      <c r="E832" s="87">
        <v>1524</v>
      </c>
    </row>
    <row r="833" spans="1:5" x14ac:dyDescent="0.2">
      <c r="A833" s="83">
        <f t="shared" si="12"/>
        <v>88004</v>
      </c>
      <c r="B833" s="80">
        <v>88</v>
      </c>
      <c r="C833" s="80" t="s">
        <v>240</v>
      </c>
      <c r="D833" s="80">
        <v>4</v>
      </c>
      <c r="E833" s="87">
        <v>1422</v>
      </c>
    </row>
    <row r="834" spans="1:5" x14ac:dyDescent="0.2">
      <c r="A834" s="83">
        <f t="shared" si="12"/>
        <v>88005</v>
      </c>
      <c r="B834" s="80">
        <v>88</v>
      </c>
      <c r="C834" s="80" t="s">
        <v>240</v>
      </c>
      <c r="D834" s="80">
        <v>5</v>
      </c>
      <c r="E834" s="87">
        <v>1422</v>
      </c>
    </row>
    <row r="835" spans="1:5" x14ac:dyDescent="0.2">
      <c r="A835" s="83">
        <f t="shared" ref="A835:A898" si="13">+B835*1000+D835</f>
        <v>88006</v>
      </c>
      <c r="B835" s="80">
        <v>88</v>
      </c>
      <c r="C835" s="80" t="s">
        <v>240</v>
      </c>
      <c r="D835" s="80">
        <v>6</v>
      </c>
      <c r="E835" s="87">
        <v>1422</v>
      </c>
    </row>
    <row r="836" spans="1:5" x14ac:dyDescent="0.2">
      <c r="A836" s="83">
        <f t="shared" si="13"/>
        <v>88007</v>
      </c>
      <c r="B836" s="80">
        <v>88</v>
      </c>
      <c r="C836" s="80" t="s">
        <v>240</v>
      </c>
      <c r="D836" s="80">
        <v>7</v>
      </c>
      <c r="E836" s="87">
        <v>1422</v>
      </c>
    </row>
    <row r="837" spans="1:5" x14ac:dyDescent="0.2">
      <c r="A837" s="83">
        <f t="shared" si="13"/>
        <v>88008</v>
      </c>
      <c r="B837" s="80">
        <v>88</v>
      </c>
      <c r="C837" s="80" t="s">
        <v>240</v>
      </c>
      <c r="D837" s="80">
        <v>8</v>
      </c>
      <c r="E837" s="87">
        <v>1422</v>
      </c>
    </row>
    <row r="838" spans="1:5" x14ac:dyDescent="0.2">
      <c r="A838" s="83">
        <f t="shared" si="13"/>
        <v>88009</v>
      </c>
      <c r="B838" s="80">
        <v>88</v>
      </c>
      <c r="C838" s="80" t="s">
        <v>240</v>
      </c>
      <c r="D838" s="80">
        <v>9</v>
      </c>
      <c r="E838" s="87">
        <v>1422</v>
      </c>
    </row>
    <row r="839" spans="1:5" x14ac:dyDescent="0.2">
      <c r="A839" s="83">
        <f t="shared" si="13"/>
        <v>88010</v>
      </c>
      <c r="B839" s="80">
        <v>88</v>
      </c>
      <c r="C839" s="80" t="s">
        <v>240</v>
      </c>
      <c r="D839" s="80">
        <v>10</v>
      </c>
      <c r="E839" s="87">
        <v>1473</v>
      </c>
    </row>
    <row r="840" spans="1:5" x14ac:dyDescent="0.2">
      <c r="A840" s="83">
        <f t="shared" si="13"/>
        <v>88011</v>
      </c>
      <c r="B840" s="80">
        <v>88</v>
      </c>
      <c r="C840" s="80" t="s">
        <v>240</v>
      </c>
      <c r="D840" s="80">
        <v>11</v>
      </c>
      <c r="E840" s="87">
        <v>1473</v>
      </c>
    </row>
    <row r="841" spans="1:5" x14ac:dyDescent="0.2">
      <c r="A841" s="83">
        <f t="shared" si="13"/>
        <v>88012</v>
      </c>
      <c r="B841" s="80">
        <v>88</v>
      </c>
      <c r="C841" s="80" t="s">
        <v>240</v>
      </c>
      <c r="D841" s="80">
        <v>12</v>
      </c>
      <c r="E841" s="87">
        <v>1524</v>
      </c>
    </row>
    <row r="842" spans="1:5" x14ac:dyDescent="0.2">
      <c r="A842" s="83">
        <f t="shared" si="13"/>
        <v>88013</v>
      </c>
      <c r="B842" s="80">
        <v>88</v>
      </c>
      <c r="C842" s="80" t="s">
        <v>240</v>
      </c>
      <c r="D842" s="80">
        <v>13</v>
      </c>
      <c r="E842" s="87">
        <v>1524</v>
      </c>
    </row>
    <row r="843" spans="1:5" x14ac:dyDescent="0.2">
      <c r="A843" s="83">
        <f t="shared" si="13"/>
        <v>88014</v>
      </c>
      <c r="B843" s="80">
        <v>88</v>
      </c>
      <c r="C843" s="80" t="s">
        <v>240</v>
      </c>
      <c r="D843" s="80">
        <v>14</v>
      </c>
      <c r="E843" s="87">
        <v>1524</v>
      </c>
    </row>
    <row r="844" spans="1:5" x14ac:dyDescent="0.2">
      <c r="A844" s="83">
        <f t="shared" si="13"/>
        <v>89001</v>
      </c>
      <c r="B844" s="80">
        <v>89</v>
      </c>
      <c r="C844" s="80" t="s">
        <v>241</v>
      </c>
      <c r="D844" s="80">
        <v>1</v>
      </c>
      <c r="E844" s="87">
        <v>1834</v>
      </c>
    </row>
    <row r="845" spans="1:5" x14ac:dyDescent="0.2">
      <c r="A845" s="83">
        <f t="shared" si="13"/>
        <v>89002</v>
      </c>
      <c r="B845" s="80">
        <v>89</v>
      </c>
      <c r="C845" s="80" t="s">
        <v>241</v>
      </c>
      <c r="D845" s="80">
        <v>2</v>
      </c>
      <c r="E845" s="87">
        <v>1834</v>
      </c>
    </row>
    <row r="846" spans="1:5" x14ac:dyDescent="0.2">
      <c r="A846" s="83">
        <f t="shared" si="13"/>
        <v>89003</v>
      </c>
      <c r="B846" s="80">
        <v>89</v>
      </c>
      <c r="C846" s="80" t="s">
        <v>241</v>
      </c>
      <c r="D846" s="80">
        <v>3</v>
      </c>
      <c r="E846" s="87">
        <v>2079</v>
      </c>
    </row>
    <row r="847" spans="1:5" x14ac:dyDescent="0.2">
      <c r="A847" s="83">
        <f t="shared" si="13"/>
        <v>89004</v>
      </c>
      <c r="B847" s="80">
        <v>89</v>
      </c>
      <c r="C847" s="80" t="s">
        <v>241</v>
      </c>
      <c r="D847" s="80">
        <v>4</v>
      </c>
      <c r="E847" s="87">
        <v>1712</v>
      </c>
    </row>
    <row r="848" spans="1:5" x14ac:dyDescent="0.2">
      <c r="A848" s="83">
        <f t="shared" si="13"/>
        <v>89005</v>
      </c>
      <c r="B848" s="80">
        <v>89</v>
      </c>
      <c r="C848" s="80" t="s">
        <v>241</v>
      </c>
      <c r="D848" s="80">
        <v>5</v>
      </c>
      <c r="E848" s="87">
        <v>1712</v>
      </c>
    </row>
    <row r="849" spans="1:5" x14ac:dyDescent="0.2">
      <c r="A849" s="83">
        <f t="shared" si="13"/>
        <v>89006</v>
      </c>
      <c r="B849" s="80">
        <v>89</v>
      </c>
      <c r="C849" s="80" t="s">
        <v>241</v>
      </c>
      <c r="D849" s="80">
        <v>6</v>
      </c>
      <c r="E849" s="87">
        <v>1712</v>
      </c>
    </row>
    <row r="850" spans="1:5" x14ac:dyDescent="0.2">
      <c r="A850" s="83">
        <f t="shared" si="13"/>
        <v>89007</v>
      </c>
      <c r="B850" s="80">
        <v>89</v>
      </c>
      <c r="C850" s="80" t="s">
        <v>241</v>
      </c>
      <c r="D850" s="80">
        <v>7</v>
      </c>
      <c r="E850" s="87">
        <v>1834</v>
      </c>
    </row>
    <row r="851" spans="1:5" x14ac:dyDescent="0.2">
      <c r="A851" s="83">
        <f t="shared" si="13"/>
        <v>89008</v>
      </c>
      <c r="B851" s="80">
        <v>89</v>
      </c>
      <c r="C851" s="80" t="s">
        <v>241</v>
      </c>
      <c r="D851" s="80">
        <v>8</v>
      </c>
      <c r="E851" s="87">
        <v>1834</v>
      </c>
    </row>
    <row r="852" spans="1:5" x14ac:dyDescent="0.2">
      <c r="A852" s="83">
        <f t="shared" si="13"/>
        <v>89009</v>
      </c>
      <c r="B852" s="80">
        <v>89</v>
      </c>
      <c r="C852" s="80" t="s">
        <v>241</v>
      </c>
      <c r="D852" s="80">
        <v>9</v>
      </c>
      <c r="E852" s="87">
        <v>1773</v>
      </c>
    </row>
    <row r="853" spans="1:5" x14ac:dyDescent="0.2">
      <c r="A853" s="83">
        <f t="shared" si="13"/>
        <v>89010</v>
      </c>
      <c r="B853" s="80">
        <v>89</v>
      </c>
      <c r="C853" s="80" t="s">
        <v>241</v>
      </c>
      <c r="D853" s="80">
        <v>10</v>
      </c>
      <c r="E853" s="87">
        <v>1834</v>
      </c>
    </row>
    <row r="854" spans="1:5" x14ac:dyDescent="0.2">
      <c r="A854" s="83">
        <f t="shared" si="13"/>
        <v>89011</v>
      </c>
      <c r="B854" s="80">
        <v>89</v>
      </c>
      <c r="C854" s="80" t="s">
        <v>241</v>
      </c>
      <c r="D854" s="80">
        <v>11</v>
      </c>
      <c r="E854" s="87" t="s">
        <v>242</v>
      </c>
    </row>
    <row r="855" spans="1:5" x14ac:dyDescent="0.2">
      <c r="A855" s="83">
        <f t="shared" si="13"/>
        <v>89012</v>
      </c>
      <c r="B855" s="80">
        <v>89</v>
      </c>
      <c r="C855" s="80" t="s">
        <v>241</v>
      </c>
      <c r="D855" s="80">
        <v>12</v>
      </c>
      <c r="E855" s="87">
        <v>1712</v>
      </c>
    </row>
    <row r="856" spans="1:5" x14ac:dyDescent="0.2">
      <c r="A856" s="83">
        <f t="shared" si="13"/>
        <v>90002</v>
      </c>
      <c r="B856" s="80">
        <v>90</v>
      </c>
      <c r="C856" s="80" t="s">
        <v>243</v>
      </c>
      <c r="D856" s="80">
        <v>2</v>
      </c>
      <c r="E856" s="87">
        <v>4289</v>
      </c>
    </row>
    <row r="857" spans="1:5" x14ac:dyDescent="0.2">
      <c r="A857" s="83">
        <f t="shared" si="13"/>
        <v>90003</v>
      </c>
      <c r="B857" s="80">
        <v>90</v>
      </c>
      <c r="C857" s="80" t="s">
        <v>243</v>
      </c>
      <c r="D857" s="80">
        <v>3</v>
      </c>
      <c r="E857" s="87">
        <v>4289</v>
      </c>
    </row>
    <row r="858" spans="1:5" x14ac:dyDescent="0.2">
      <c r="A858" s="83">
        <f t="shared" si="13"/>
        <v>90004</v>
      </c>
      <c r="B858" s="80">
        <v>90</v>
      </c>
      <c r="C858" s="80" t="s">
        <v>243</v>
      </c>
      <c r="D858" s="80">
        <v>4</v>
      </c>
      <c r="E858" s="87">
        <v>4289</v>
      </c>
    </row>
    <row r="859" spans="1:5" x14ac:dyDescent="0.2">
      <c r="A859" s="83">
        <f t="shared" si="13"/>
        <v>90005</v>
      </c>
      <c r="B859" s="80">
        <v>90</v>
      </c>
      <c r="C859" s="80" t="s">
        <v>243</v>
      </c>
      <c r="D859" s="80">
        <v>5</v>
      </c>
      <c r="E859" s="87">
        <v>4289</v>
      </c>
    </row>
    <row r="860" spans="1:5" x14ac:dyDescent="0.2">
      <c r="A860" s="83">
        <f t="shared" si="13"/>
        <v>90006</v>
      </c>
      <c r="B860" s="80">
        <v>90</v>
      </c>
      <c r="C860" s="80" t="s">
        <v>243</v>
      </c>
      <c r="D860" s="80">
        <v>6</v>
      </c>
      <c r="E860" s="87">
        <v>4289</v>
      </c>
    </row>
    <row r="861" spans="1:5" x14ac:dyDescent="0.2">
      <c r="A861" s="83">
        <f t="shared" si="13"/>
        <v>90007</v>
      </c>
      <c r="B861" s="80">
        <v>90</v>
      </c>
      <c r="C861" s="80" t="s">
        <v>243</v>
      </c>
      <c r="D861" s="80">
        <v>7</v>
      </c>
      <c r="E861" s="87">
        <v>4289</v>
      </c>
    </row>
    <row r="862" spans="1:5" x14ac:dyDescent="0.2">
      <c r="A862" s="83">
        <f t="shared" si="13"/>
        <v>90008</v>
      </c>
      <c r="B862" s="80">
        <v>90</v>
      </c>
      <c r="C862" s="80" t="s">
        <v>243</v>
      </c>
      <c r="D862" s="80">
        <v>8</v>
      </c>
      <c r="E862" s="87">
        <v>4289</v>
      </c>
    </row>
    <row r="863" spans="1:5" x14ac:dyDescent="0.2">
      <c r="A863" s="83">
        <f t="shared" si="13"/>
        <v>90009</v>
      </c>
      <c r="B863" s="80">
        <v>90</v>
      </c>
      <c r="C863" s="80" t="s">
        <v>243</v>
      </c>
      <c r="D863" s="80">
        <v>9</v>
      </c>
      <c r="E863" s="87">
        <v>4289</v>
      </c>
    </row>
    <row r="864" spans="1:5" x14ac:dyDescent="0.2">
      <c r="A864" s="83">
        <f t="shared" si="13"/>
        <v>90010</v>
      </c>
      <c r="B864" s="80">
        <v>90</v>
      </c>
      <c r="C864" s="80" t="s">
        <v>243</v>
      </c>
      <c r="D864" s="80">
        <v>10</v>
      </c>
      <c r="E864" s="87">
        <v>4289</v>
      </c>
    </row>
    <row r="865" spans="1:5" x14ac:dyDescent="0.2">
      <c r="A865" s="83">
        <f t="shared" si="13"/>
        <v>90011</v>
      </c>
      <c r="B865" s="80">
        <v>90</v>
      </c>
      <c r="C865" s="80" t="s">
        <v>243</v>
      </c>
      <c r="D865" s="80">
        <v>11</v>
      </c>
      <c r="E865" s="87">
        <v>4289</v>
      </c>
    </row>
    <row r="866" spans="1:5" x14ac:dyDescent="0.2">
      <c r="A866" s="83">
        <f t="shared" si="13"/>
        <v>90012</v>
      </c>
      <c r="B866" s="80">
        <v>90</v>
      </c>
      <c r="C866" s="80" t="s">
        <v>243</v>
      </c>
      <c r="D866" s="80">
        <v>12</v>
      </c>
      <c r="E866" s="87">
        <v>4289</v>
      </c>
    </row>
    <row r="867" spans="1:5" x14ac:dyDescent="0.2">
      <c r="A867" s="83">
        <f t="shared" si="13"/>
        <v>90013</v>
      </c>
      <c r="B867" s="80">
        <v>90</v>
      </c>
      <c r="C867" s="80" t="s">
        <v>243</v>
      </c>
      <c r="D867" s="80">
        <v>13</v>
      </c>
      <c r="E867" s="87">
        <v>4289</v>
      </c>
    </row>
    <row r="868" spans="1:5" x14ac:dyDescent="0.2">
      <c r="A868" s="83">
        <f t="shared" si="13"/>
        <v>91001</v>
      </c>
      <c r="B868" s="80">
        <v>91</v>
      </c>
      <c r="C868" s="80" t="s">
        <v>244</v>
      </c>
      <c r="D868" s="80">
        <v>1</v>
      </c>
      <c r="E868" s="87">
        <v>2219</v>
      </c>
    </row>
    <row r="869" spans="1:5" x14ac:dyDescent="0.2">
      <c r="A869" s="83">
        <f t="shared" si="13"/>
        <v>91002</v>
      </c>
      <c r="B869" s="80">
        <v>91</v>
      </c>
      <c r="C869" s="80" t="s">
        <v>244</v>
      </c>
      <c r="D869" s="80">
        <v>2</v>
      </c>
      <c r="E869" s="87">
        <v>2219</v>
      </c>
    </row>
    <row r="870" spans="1:5" x14ac:dyDescent="0.2">
      <c r="A870" s="83">
        <f t="shared" si="13"/>
        <v>91003</v>
      </c>
      <c r="B870" s="80">
        <v>91</v>
      </c>
      <c r="C870" s="80" t="s">
        <v>244</v>
      </c>
      <c r="D870" s="80">
        <v>3</v>
      </c>
      <c r="E870" s="87">
        <v>2219</v>
      </c>
    </row>
    <row r="871" spans="1:5" x14ac:dyDescent="0.2">
      <c r="A871" s="83">
        <f t="shared" si="13"/>
        <v>91004</v>
      </c>
      <c r="B871" s="80">
        <v>91</v>
      </c>
      <c r="C871" s="80" t="s">
        <v>244</v>
      </c>
      <c r="D871" s="80">
        <v>4</v>
      </c>
      <c r="E871" s="87">
        <v>1923</v>
      </c>
    </row>
    <row r="872" spans="1:5" x14ac:dyDescent="0.2">
      <c r="A872" s="83">
        <f t="shared" si="13"/>
        <v>91005</v>
      </c>
      <c r="B872" s="80">
        <v>91</v>
      </c>
      <c r="C872" s="80" t="s">
        <v>244</v>
      </c>
      <c r="D872" s="80">
        <v>5</v>
      </c>
      <c r="E872" s="87">
        <v>2145</v>
      </c>
    </row>
    <row r="873" spans="1:5" x14ac:dyDescent="0.2">
      <c r="A873" s="83">
        <f t="shared" si="13"/>
        <v>91006</v>
      </c>
      <c r="B873" s="80">
        <v>91</v>
      </c>
      <c r="C873" s="80" t="s">
        <v>244</v>
      </c>
      <c r="D873" s="80">
        <v>6</v>
      </c>
      <c r="E873" s="87">
        <v>2219</v>
      </c>
    </row>
    <row r="874" spans="1:5" x14ac:dyDescent="0.2">
      <c r="A874" s="83">
        <f t="shared" si="13"/>
        <v>91007</v>
      </c>
      <c r="B874" s="80">
        <v>91</v>
      </c>
      <c r="C874" s="80" t="s">
        <v>244</v>
      </c>
      <c r="D874" s="80">
        <v>7</v>
      </c>
      <c r="E874" s="87">
        <v>2145</v>
      </c>
    </row>
    <row r="875" spans="1:5" x14ac:dyDescent="0.2">
      <c r="A875" s="83">
        <f t="shared" si="13"/>
        <v>91008</v>
      </c>
      <c r="B875" s="80">
        <v>91</v>
      </c>
      <c r="C875" s="80" t="s">
        <v>244</v>
      </c>
      <c r="D875" s="80">
        <v>8</v>
      </c>
      <c r="E875" s="87">
        <v>1923</v>
      </c>
    </row>
    <row r="876" spans="1:5" x14ac:dyDescent="0.2">
      <c r="A876" s="83">
        <f t="shared" si="13"/>
        <v>92001</v>
      </c>
      <c r="B876" s="80">
        <v>92</v>
      </c>
      <c r="C876" s="80" t="s">
        <v>245</v>
      </c>
      <c r="D876" s="80">
        <v>1</v>
      </c>
      <c r="E876" s="87">
        <v>1366</v>
      </c>
    </row>
    <row r="877" spans="1:5" x14ac:dyDescent="0.2">
      <c r="A877" s="83">
        <f t="shared" si="13"/>
        <v>92002</v>
      </c>
      <c r="B877" s="80">
        <v>92</v>
      </c>
      <c r="C877" s="80" t="s">
        <v>245</v>
      </c>
      <c r="D877" s="80">
        <v>2</v>
      </c>
      <c r="E877" s="87">
        <v>1366</v>
      </c>
    </row>
    <row r="878" spans="1:5" x14ac:dyDescent="0.2">
      <c r="A878" s="83">
        <f t="shared" si="13"/>
        <v>92003</v>
      </c>
      <c r="B878" s="80">
        <v>92</v>
      </c>
      <c r="C878" s="80" t="s">
        <v>245</v>
      </c>
      <c r="D878" s="80">
        <v>3</v>
      </c>
      <c r="E878" s="87">
        <v>1449</v>
      </c>
    </row>
    <row r="879" spans="1:5" x14ac:dyDescent="0.2">
      <c r="A879" s="83">
        <f t="shared" si="13"/>
        <v>92004</v>
      </c>
      <c r="B879" s="80">
        <v>92</v>
      </c>
      <c r="C879" s="80" t="s">
        <v>245</v>
      </c>
      <c r="D879" s="80">
        <v>4</v>
      </c>
      <c r="E879" s="87">
        <v>1449</v>
      </c>
    </row>
    <row r="880" spans="1:5" x14ac:dyDescent="0.2">
      <c r="A880" s="83">
        <f t="shared" si="13"/>
        <v>92005</v>
      </c>
      <c r="B880" s="80">
        <v>92</v>
      </c>
      <c r="C880" s="80" t="s">
        <v>245</v>
      </c>
      <c r="D880" s="80">
        <v>5</v>
      </c>
      <c r="E880" s="87">
        <v>1242</v>
      </c>
    </row>
    <row r="881" spans="1:5" x14ac:dyDescent="0.2">
      <c r="A881" s="83">
        <f t="shared" si="13"/>
        <v>92006</v>
      </c>
      <c r="B881" s="80">
        <v>92</v>
      </c>
      <c r="C881" s="80" t="s">
        <v>245</v>
      </c>
      <c r="D881" s="80">
        <v>6</v>
      </c>
      <c r="E881" s="87">
        <v>1201</v>
      </c>
    </row>
    <row r="882" spans="1:5" x14ac:dyDescent="0.2">
      <c r="A882" s="83">
        <f t="shared" si="13"/>
        <v>92007</v>
      </c>
      <c r="B882" s="80">
        <v>92</v>
      </c>
      <c r="C882" s="80" t="s">
        <v>245</v>
      </c>
      <c r="D882" s="80">
        <v>7</v>
      </c>
      <c r="E882" s="87">
        <v>1201</v>
      </c>
    </row>
    <row r="883" spans="1:5" x14ac:dyDescent="0.2">
      <c r="A883" s="83">
        <f t="shared" si="13"/>
        <v>92008</v>
      </c>
      <c r="B883" s="80">
        <v>92</v>
      </c>
      <c r="C883" s="80" t="s">
        <v>245</v>
      </c>
      <c r="D883" s="80">
        <v>8</v>
      </c>
      <c r="E883" s="87">
        <v>1159</v>
      </c>
    </row>
    <row r="884" spans="1:5" x14ac:dyDescent="0.2">
      <c r="A884" s="83">
        <f t="shared" si="13"/>
        <v>92009</v>
      </c>
      <c r="B884" s="80">
        <v>92</v>
      </c>
      <c r="C884" s="80" t="s">
        <v>245</v>
      </c>
      <c r="D884" s="80">
        <v>9</v>
      </c>
      <c r="E884" s="87">
        <v>1159</v>
      </c>
    </row>
    <row r="885" spans="1:5" x14ac:dyDescent="0.2">
      <c r="A885" s="83">
        <f t="shared" si="13"/>
        <v>92010</v>
      </c>
      <c r="B885" s="80">
        <v>92</v>
      </c>
      <c r="C885" s="80" t="s">
        <v>245</v>
      </c>
      <c r="D885" s="80">
        <v>10</v>
      </c>
      <c r="E885" s="87">
        <v>1201</v>
      </c>
    </row>
    <row r="886" spans="1:5" x14ac:dyDescent="0.2">
      <c r="A886" s="83">
        <f t="shared" si="13"/>
        <v>92011</v>
      </c>
      <c r="B886" s="80">
        <v>92</v>
      </c>
      <c r="C886" s="80" t="s">
        <v>245</v>
      </c>
      <c r="D886" s="80">
        <v>11</v>
      </c>
      <c r="E886" s="87">
        <v>1159</v>
      </c>
    </row>
    <row r="887" spans="1:5" x14ac:dyDescent="0.2">
      <c r="A887" s="83">
        <f t="shared" si="13"/>
        <v>92012</v>
      </c>
      <c r="B887" s="80">
        <v>92</v>
      </c>
      <c r="C887" s="80" t="s">
        <v>245</v>
      </c>
      <c r="D887" s="80">
        <v>12</v>
      </c>
      <c r="E887" s="87">
        <v>1491</v>
      </c>
    </row>
    <row r="888" spans="1:5" x14ac:dyDescent="0.2">
      <c r="A888" s="83">
        <f t="shared" si="13"/>
        <v>93001</v>
      </c>
      <c r="B888" s="80">
        <v>93</v>
      </c>
      <c r="C888" s="80" t="s">
        <v>246</v>
      </c>
      <c r="D888" s="80">
        <v>1</v>
      </c>
      <c r="E888" s="87">
        <v>1814</v>
      </c>
    </row>
    <row r="889" spans="1:5" x14ac:dyDescent="0.2">
      <c r="A889" s="83">
        <f t="shared" si="13"/>
        <v>93002</v>
      </c>
      <c r="B889" s="80">
        <v>93</v>
      </c>
      <c r="C889" s="80" t="s">
        <v>246</v>
      </c>
      <c r="D889" s="80">
        <v>2</v>
      </c>
      <c r="E889" s="87">
        <v>1555</v>
      </c>
    </row>
    <row r="890" spans="1:5" x14ac:dyDescent="0.2">
      <c r="A890" s="83">
        <f t="shared" si="13"/>
        <v>93003</v>
      </c>
      <c r="B890" s="80">
        <v>93</v>
      </c>
      <c r="C890" s="80" t="s">
        <v>246</v>
      </c>
      <c r="D890" s="80">
        <v>3</v>
      </c>
      <c r="E890" s="87">
        <v>1762</v>
      </c>
    </row>
    <row r="891" spans="1:5" x14ac:dyDescent="0.2">
      <c r="A891" s="83">
        <f t="shared" si="13"/>
        <v>93004</v>
      </c>
      <c r="B891" s="80">
        <v>93</v>
      </c>
      <c r="C891" s="80" t="s">
        <v>246</v>
      </c>
      <c r="D891" s="80">
        <v>4</v>
      </c>
      <c r="E891" s="87">
        <v>1814</v>
      </c>
    </row>
    <row r="892" spans="1:5" x14ac:dyDescent="0.2">
      <c r="A892" s="83">
        <f t="shared" si="13"/>
        <v>93005</v>
      </c>
      <c r="B892" s="80">
        <v>93</v>
      </c>
      <c r="C892" s="80" t="s">
        <v>246</v>
      </c>
      <c r="D892" s="80">
        <v>5</v>
      </c>
      <c r="E892" s="87">
        <v>1762</v>
      </c>
    </row>
    <row r="893" spans="1:5" x14ac:dyDescent="0.2">
      <c r="A893" s="83">
        <f t="shared" si="13"/>
        <v>93006</v>
      </c>
      <c r="B893" s="80">
        <v>93</v>
      </c>
      <c r="C893" s="80" t="s">
        <v>246</v>
      </c>
      <c r="D893" s="80">
        <v>6</v>
      </c>
      <c r="E893" s="87">
        <v>1762</v>
      </c>
    </row>
    <row r="894" spans="1:5" x14ac:dyDescent="0.2">
      <c r="A894" s="83">
        <f t="shared" si="13"/>
        <v>93007</v>
      </c>
      <c r="B894" s="80">
        <v>93</v>
      </c>
      <c r="C894" s="80" t="s">
        <v>246</v>
      </c>
      <c r="D894" s="80">
        <v>7</v>
      </c>
      <c r="E894" s="87">
        <v>1762</v>
      </c>
    </row>
    <row r="895" spans="1:5" x14ac:dyDescent="0.2">
      <c r="A895" s="83">
        <f t="shared" si="13"/>
        <v>93008</v>
      </c>
      <c r="B895" s="80">
        <v>93</v>
      </c>
      <c r="C895" s="80" t="s">
        <v>246</v>
      </c>
      <c r="D895" s="80">
        <v>8</v>
      </c>
      <c r="E895" s="87">
        <v>1555</v>
      </c>
    </row>
    <row r="896" spans="1:5" x14ac:dyDescent="0.2">
      <c r="A896" s="83">
        <f t="shared" si="13"/>
        <v>93009</v>
      </c>
      <c r="B896" s="80">
        <v>93</v>
      </c>
      <c r="C896" s="80" t="s">
        <v>246</v>
      </c>
      <c r="D896" s="80">
        <v>9</v>
      </c>
      <c r="E896" s="87">
        <v>1762</v>
      </c>
    </row>
    <row r="897" spans="1:5" x14ac:dyDescent="0.2">
      <c r="A897" s="83">
        <f t="shared" si="13"/>
        <v>94001</v>
      </c>
      <c r="B897" s="80">
        <v>94</v>
      </c>
      <c r="C897" s="80" t="s">
        <v>247</v>
      </c>
      <c r="D897" s="80">
        <v>1</v>
      </c>
      <c r="E897" s="87">
        <v>3695</v>
      </c>
    </row>
    <row r="898" spans="1:5" x14ac:dyDescent="0.2">
      <c r="A898" s="83">
        <f t="shared" si="13"/>
        <v>94002</v>
      </c>
      <c r="B898" s="80">
        <v>94</v>
      </c>
      <c r="C898" s="80" t="s">
        <v>247</v>
      </c>
      <c r="D898" s="80">
        <v>2</v>
      </c>
      <c r="E898" s="87">
        <v>3695</v>
      </c>
    </row>
    <row r="899" spans="1:5" x14ac:dyDescent="0.2">
      <c r="A899" s="83">
        <f t="shared" ref="A899:A962" si="14">+B899*1000+D899</f>
        <v>94003</v>
      </c>
      <c r="B899" s="80">
        <v>94</v>
      </c>
      <c r="C899" s="80" t="s">
        <v>247</v>
      </c>
      <c r="D899" s="80">
        <v>3</v>
      </c>
      <c r="E899" s="87">
        <v>3695</v>
      </c>
    </row>
    <row r="900" spans="1:5" x14ac:dyDescent="0.2">
      <c r="A900" s="83">
        <f t="shared" si="14"/>
        <v>94004</v>
      </c>
      <c r="B900" s="80">
        <v>94</v>
      </c>
      <c r="C900" s="80" t="s">
        <v>247</v>
      </c>
      <c r="D900" s="80">
        <v>4</v>
      </c>
      <c r="E900" s="87">
        <v>3695</v>
      </c>
    </row>
    <row r="901" spans="1:5" x14ac:dyDescent="0.2">
      <c r="A901" s="83">
        <f t="shared" si="14"/>
        <v>94005</v>
      </c>
      <c r="B901" s="80">
        <v>94</v>
      </c>
      <c r="C901" s="80" t="s">
        <v>247</v>
      </c>
      <c r="D901" s="80">
        <v>5</v>
      </c>
      <c r="E901" s="87">
        <v>3695</v>
      </c>
    </row>
    <row r="902" spans="1:5" x14ac:dyDescent="0.2">
      <c r="A902" s="83">
        <f t="shared" si="14"/>
        <v>94006</v>
      </c>
      <c r="B902" s="80">
        <v>94</v>
      </c>
      <c r="C902" s="80" t="s">
        <v>247</v>
      </c>
      <c r="D902" s="80">
        <v>6</v>
      </c>
      <c r="E902" s="87">
        <v>3695</v>
      </c>
    </row>
    <row r="903" spans="1:5" x14ac:dyDescent="0.2">
      <c r="A903" s="83">
        <f t="shared" si="14"/>
        <v>94007</v>
      </c>
      <c r="B903" s="80">
        <v>94</v>
      </c>
      <c r="C903" s="80" t="s">
        <v>247</v>
      </c>
      <c r="D903" s="80">
        <v>7</v>
      </c>
      <c r="E903" s="87">
        <v>3695</v>
      </c>
    </row>
    <row r="904" spans="1:5" x14ac:dyDescent="0.2">
      <c r="A904" s="83">
        <f t="shared" si="14"/>
        <v>94008</v>
      </c>
      <c r="B904" s="80">
        <v>94</v>
      </c>
      <c r="C904" s="80" t="s">
        <v>247</v>
      </c>
      <c r="D904" s="80">
        <v>8</v>
      </c>
      <c r="E904" s="87">
        <v>3695</v>
      </c>
    </row>
    <row r="905" spans="1:5" x14ac:dyDescent="0.2">
      <c r="A905" s="83">
        <f t="shared" si="14"/>
        <v>94009</v>
      </c>
      <c r="B905" s="80">
        <v>94</v>
      </c>
      <c r="C905" s="80" t="s">
        <v>247</v>
      </c>
      <c r="D905" s="80">
        <v>9</v>
      </c>
      <c r="E905" s="87">
        <v>3695</v>
      </c>
    </row>
    <row r="906" spans="1:5" x14ac:dyDescent="0.2">
      <c r="A906" s="83">
        <f t="shared" si="14"/>
        <v>94010</v>
      </c>
      <c r="B906" s="80">
        <v>94</v>
      </c>
      <c r="C906" s="80" t="s">
        <v>247</v>
      </c>
      <c r="D906" s="80">
        <v>10</v>
      </c>
      <c r="E906" s="87">
        <v>3695</v>
      </c>
    </row>
    <row r="907" spans="1:5" x14ac:dyDescent="0.2">
      <c r="A907" s="83">
        <f t="shared" si="14"/>
        <v>94011</v>
      </c>
      <c r="B907" s="80">
        <v>94</v>
      </c>
      <c r="C907" s="80" t="s">
        <v>247</v>
      </c>
      <c r="D907" s="80">
        <v>11</v>
      </c>
      <c r="E907" s="87">
        <v>3695</v>
      </c>
    </row>
    <row r="908" spans="1:5" x14ac:dyDescent="0.2">
      <c r="A908" s="83">
        <f t="shared" si="14"/>
        <v>94012</v>
      </c>
      <c r="B908" s="80">
        <v>94</v>
      </c>
      <c r="C908" s="80" t="s">
        <v>247</v>
      </c>
      <c r="D908" s="80">
        <v>12</v>
      </c>
      <c r="E908" s="87">
        <v>3695</v>
      </c>
    </row>
    <row r="909" spans="1:5" x14ac:dyDescent="0.2">
      <c r="A909" s="83">
        <f t="shared" si="14"/>
        <v>94013</v>
      </c>
      <c r="B909" s="80">
        <v>94</v>
      </c>
      <c r="C909" s="80" t="s">
        <v>247</v>
      </c>
      <c r="D909" s="80">
        <v>13</v>
      </c>
      <c r="E909" s="87">
        <v>3695</v>
      </c>
    </row>
    <row r="910" spans="1:5" x14ac:dyDescent="0.2">
      <c r="A910" s="83">
        <f t="shared" si="14"/>
        <v>94014</v>
      </c>
      <c r="B910" s="80">
        <v>94</v>
      </c>
      <c r="C910" s="80" t="s">
        <v>247</v>
      </c>
      <c r="D910" s="80">
        <v>14</v>
      </c>
      <c r="E910" s="87">
        <v>3695</v>
      </c>
    </row>
    <row r="911" spans="1:5" x14ac:dyDescent="0.2">
      <c r="A911" s="83">
        <f t="shared" si="14"/>
        <v>94015</v>
      </c>
      <c r="B911" s="80">
        <v>94</v>
      </c>
      <c r="C911" s="80" t="s">
        <v>247</v>
      </c>
      <c r="D911" s="80">
        <v>15</v>
      </c>
      <c r="E911" s="87">
        <v>3695</v>
      </c>
    </row>
    <row r="912" spans="1:5" x14ac:dyDescent="0.2">
      <c r="A912" s="83">
        <f t="shared" si="14"/>
        <v>94016</v>
      </c>
      <c r="B912" s="80">
        <v>94</v>
      </c>
      <c r="C912" s="80" t="s">
        <v>247</v>
      </c>
      <c r="D912" s="80">
        <v>16</v>
      </c>
      <c r="E912" s="87">
        <v>3695</v>
      </c>
    </row>
    <row r="913" spans="1:5" x14ac:dyDescent="0.2">
      <c r="A913" s="83">
        <f t="shared" si="14"/>
        <v>95001</v>
      </c>
      <c r="B913" s="80">
        <v>95</v>
      </c>
      <c r="C913" s="80" t="s">
        <v>248</v>
      </c>
      <c r="D913" s="80">
        <v>1</v>
      </c>
      <c r="E913" s="87">
        <v>4445</v>
      </c>
    </row>
    <row r="914" spans="1:5" x14ac:dyDescent="0.2">
      <c r="A914" s="83">
        <f t="shared" si="14"/>
        <v>95002</v>
      </c>
      <c r="B914" s="80">
        <v>95</v>
      </c>
      <c r="C914" s="80" t="s">
        <v>248</v>
      </c>
      <c r="D914" s="80">
        <v>2</v>
      </c>
      <c r="E914" s="87">
        <v>4445</v>
      </c>
    </row>
    <row r="915" spans="1:5" x14ac:dyDescent="0.2">
      <c r="A915" s="83">
        <f t="shared" si="14"/>
        <v>95003</v>
      </c>
      <c r="B915" s="80">
        <v>95</v>
      </c>
      <c r="C915" s="80" t="s">
        <v>248</v>
      </c>
      <c r="D915" s="80">
        <v>3</v>
      </c>
      <c r="E915" s="87">
        <v>4445</v>
      </c>
    </row>
    <row r="916" spans="1:5" x14ac:dyDescent="0.2">
      <c r="A916" s="83">
        <f t="shared" si="14"/>
        <v>95004</v>
      </c>
      <c r="B916" s="80">
        <v>95</v>
      </c>
      <c r="C916" s="80" t="s">
        <v>248</v>
      </c>
      <c r="D916" s="80">
        <v>4</v>
      </c>
      <c r="E916" s="87">
        <v>4445</v>
      </c>
    </row>
    <row r="917" spans="1:5" x14ac:dyDescent="0.2">
      <c r="A917" s="83">
        <f t="shared" si="14"/>
        <v>95005</v>
      </c>
      <c r="B917" s="80">
        <v>95</v>
      </c>
      <c r="C917" s="80" t="s">
        <v>248</v>
      </c>
      <c r="D917" s="80">
        <v>5</v>
      </c>
      <c r="E917" s="87">
        <v>4445</v>
      </c>
    </row>
    <row r="918" spans="1:5" x14ac:dyDescent="0.2">
      <c r="A918" s="83">
        <f t="shared" si="14"/>
        <v>95006</v>
      </c>
      <c r="B918" s="80">
        <v>95</v>
      </c>
      <c r="C918" s="80" t="s">
        <v>248</v>
      </c>
      <c r="D918" s="80">
        <v>6</v>
      </c>
      <c r="E918" s="87">
        <v>4445</v>
      </c>
    </row>
    <row r="919" spans="1:5" x14ac:dyDescent="0.2">
      <c r="A919" s="83">
        <f t="shared" si="14"/>
        <v>98001</v>
      </c>
      <c r="B919" s="80">
        <v>98</v>
      </c>
      <c r="C919" s="80" t="s">
        <v>249</v>
      </c>
      <c r="D919" s="80">
        <v>1</v>
      </c>
      <c r="E919" s="87">
        <v>3968</v>
      </c>
    </row>
    <row r="920" spans="1:5" x14ac:dyDescent="0.2">
      <c r="A920" s="83">
        <f t="shared" si="14"/>
        <v>98002</v>
      </c>
      <c r="B920" s="80">
        <v>98</v>
      </c>
      <c r="C920" s="80" t="s">
        <v>249</v>
      </c>
      <c r="D920" s="80">
        <v>2</v>
      </c>
      <c r="E920" s="87">
        <v>3968</v>
      </c>
    </row>
    <row r="921" spans="1:5" x14ac:dyDescent="0.2">
      <c r="A921" s="83">
        <f t="shared" si="14"/>
        <v>98003</v>
      </c>
      <c r="B921" s="80">
        <v>98</v>
      </c>
      <c r="C921" s="80" t="s">
        <v>249</v>
      </c>
      <c r="D921" s="80">
        <v>3</v>
      </c>
      <c r="E921" s="87">
        <v>3968</v>
      </c>
    </row>
    <row r="922" spans="1:5" x14ac:dyDescent="0.2">
      <c r="A922" s="83">
        <f t="shared" si="14"/>
        <v>98004</v>
      </c>
      <c r="B922" s="80">
        <v>98</v>
      </c>
      <c r="C922" s="80" t="s">
        <v>249</v>
      </c>
      <c r="D922" s="80">
        <v>4</v>
      </c>
      <c r="E922" s="87">
        <v>3968</v>
      </c>
    </row>
    <row r="923" spans="1:5" x14ac:dyDescent="0.2">
      <c r="A923" s="83">
        <f t="shared" si="14"/>
        <v>98005</v>
      </c>
      <c r="B923" s="80">
        <v>98</v>
      </c>
      <c r="C923" s="80" t="s">
        <v>249</v>
      </c>
      <c r="D923" s="80">
        <v>5</v>
      </c>
      <c r="E923" s="87">
        <v>3968</v>
      </c>
    </row>
    <row r="924" spans="1:5" x14ac:dyDescent="0.2">
      <c r="A924" s="83">
        <f t="shared" si="14"/>
        <v>98006</v>
      </c>
      <c r="B924" s="80">
        <v>98</v>
      </c>
      <c r="C924" s="80" t="s">
        <v>249</v>
      </c>
      <c r="D924" s="80">
        <v>6</v>
      </c>
      <c r="E924" s="87">
        <v>3968</v>
      </c>
    </row>
    <row r="925" spans="1:5" x14ac:dyDescent="0.2">
      <c r="A925" s="83">
        <f t="shared" si="14"/>
        <v>98007</v>
      </c>
      <c r="B925" s="80">
        <v>98</v>
      </c>
      <c r="C925" s="80" t="s">
        <v>249</v>
      </c>
      <c r="D925" s="80">
        <v>7</v>
      </c>
      <c r="E925" s="87">
        <v>3968</v>
      </c>
    </row>
    <row r="926" spans="1:5" x14ac:dyDescent="0.2">
      <c r="A926" s="83">
        <f t="shared" si="14"/>
        <v>98008</v>
      </c>
      <c r="B926" s="80">
        <v>98</v>
      </c>
      <c r="C926" s="80" t="s">
        <v>249</v>
      </c>
      <c r="D926" s="80">
        <v>8</v>
      </c>
      <c r="E926" s="87">
        <v>3968</v>
      </c>
    </row>
    <row r="927" spans="1:5" x14ac:dyDescent="0.2">
      <c r="A927" s="83">
        <f t="shared" si="14"/>
        <v>98009</v>
      </c>
      <c r="B927" s="80">
        <v>98</v>
      </c>
      <c r="C927" s="80" t="s">
        <v>249</v>
      </c>
      <c r="D927" s="80">
        <v>9</v>
      </c>
      <c r="E927" s="87">
        <v>3968</v>
      </c>
    </row>
    <row r="928" spans="1:5" x14ac:dyDescent="0.2">
      <c r="A928" s="83">
        <f t="shared" si="14"/>
        <v>98010</v>
      </c>
      <c r="B928" s="80">
        <v>98</v>
      </c>
      <c r="C928" s="80" t="s">
        <v>249</v>
      </c>
      <c r="D928" s="80">
        <v>10</v>
      </c>
      <c r="E928" s="87">
        <v>3968</v>
      </c>
    </row>
    <row r="929" spans="1:5" x14ac:dyDescent="0.2">
      <c r="A929" s="83">
        <f t="shared" si="14"/>
        <v>98011</v>
      </c>
      <c r="B929" s="80">
        <v>98</v>
      </c>
      <c r="C929" s="80" t="s">
        <v>249</v>
      </c>
      <c r="D929" s="80">
        <v>11</v>
      </c>
      <c r="E929" s="87">
        <v>3968</v>
      </c>
    </row>
    <row r="930" spans="1:5" x14ac:dyDescent="0.2">
      <c r="A930" s="83">
        <f t="shared" si="14"/>
        <v>99001</v>
      </c>
      <c r="B930" s="80">
        <v>99</v>
      </c>
      <c r="C930" s="80" t="s">
        <v>250</v>
      </c>
      <c r="D930" s="80">
        <v>1</v>
      </c>
      <c r="E930" s="87">
        <v>4372</v>
      </c>
    </row>
    <row r="931" spans="1:5" x14ac:dyDescent="0.2">
      <c r="A931" s="83">
        <f t="shared" si="14"/>
        <v>99002</v>
      </c>
      <c r="B931" s="80">
        <v>99</v>
      </c>
      <c r="C931" s="80" t="s">
        <v>250</v>
      </c>
      <c r="D931" s="80">
        <v>2</v>
      </c>
      <c r="E931" s="87">
        <v>4372</v>
      </c>
    </row>
    <row r="932" spans="1:5" x14ac:dyDescent="0.2">
      <c r="A932" s="83">
        <f t="shared" si="14"/>
        <v>99003</v>
      </c>
      <c r="B932" s="80">
        <v>99</v>
      </c>
      <c r="C932" s="80" t="s">
        <v>250</v>
      </c>
      <c r="D932" s="80">
        <v>3</v>
      </c>
      <c r="E932" s="87">
        <v>4372</v>
      </c>
    </row>
    <row r="933" spans="1:5" x14ac:dyDescent="0.2">
      <c r="A933" s="83">
        <f t="shared" si="14"/>
        <v>99004</v>
      </c>
      <c r="B933" s="80">
        <v>99</v>
      </c>
      <c r="C933" s="80" t="s">
        <v>250</v>
      </c>
      <c r="D933" s="80">
        <v>4</v>
      </c>
      <c r="E933" s="87">
        <v>4129</v>
      </c>
    </row>
    <row r="934" spans="1:5" x14ac:dyDescent="0.2">
      <c r="A934" s="83">
        <f t="shared" si="14"/>
        <v>99005</v>
      </c>
      <c r="B934" s="80">
        <v>99</v>
      </c>
      <c r="C934" s="80" t="s">
        <v>250</v>
      </c>
      <c r="D934" s="80">
        <v>5</v>
      </c>
      <c r="E934" s="87">
        <v>4372</v>
      </c>
    </row>
    <row r="935" spans="1:5" x14ac:dyDescent="0.2">
      <c r="A935" s="83">
        <f t="shared" si="14"/>
        <v>99006</v>
      </c>
      <c r="B935" s="80">
        <v>99</v>
      </c>
      <c r="C935" s="80" t="s">
        <v>250</v>
      </c>
      <c r="D935" s="80">
        <v>6</v>
      </c>
      <c r="E935" s="87">
        <v>4372</v>
      </c>
    </row>
    <row r="936" spans="1:5" x14ac:dyDescent="0.2">
      <c r="A936" s="83">
        <f t="shared" si="14"/>
        <v>99007</v>
      </c>
      <c r="B936" s="80">
        <v>99</v>
      </c>
      <c r="C936" s="80" t="s">
        <v>250</v>
      </c>
      <c r="D936" s="80">
        <v>7</v>
      </c>
      <c r="E936" s="87">
        <v>4372</v>
      </c>
    </row>
    <row r="937" spans="1:5" x14ac:dyDescent="0.2">
      <c r="A937" s="83">
        <f t="shared" si="14"/>
        <v>99008</v>
      </c>
      <c r="B937" s="80">
        <v>99</v>
      </c>
      <c r="C937" s="80" t="s">
        <v>250</v>
      </c>
      <c r="D937" s="80">
        <v>8</v>
      </c>
      <c r="E937" s="87">
        <v>4372</v>
      </c>
    </row>
    <row r="938" spans="1:5" x14ac:dyDescent="0.2">
      <c r="A938" s="83">
        <f t="shared" si="14"/>
        <v>99009</v>
      </c>
      <c r="B938" s="80">
        <v>99</v>
      </c>
      <c r="C938" s="80" t="s">
        <v>250</v>
      </c>
      <c r="D938" s="80">
        <v>9</v>
      </c>
      <c r="E938" s="87">
        <v>4372</v>
      </c>
    </row>
    <row r="939" spans="1:5" x14ac:dyDescent="0.2">
      <c r="A939" s="83">
        <f t="shared" si="14"/>
        <v>99010</v>
      </c>
      <c r="B939" s="80">
        <v>99</v>
      </c>
      <c r="C939" s="80" t="s">
        <v>250</v>
      </c>
      <c r="D939" s="80">
        <v>10</v>
      </c>
      <c r="E939" s="87">
        <v>4372</v>
      </c>
    </row>
    <row r="940" spans="1:5" x14ac:dyDescent="0.2">
      <c r="A940" s="83">
        <f t="shared" si="14"/>
        <v>99011</v>
      </c>
      <c r="B940" s="80">
        <v>99</v>
      </c>
      <c r="C940" s="80" t="s">
        <v>250</v>
      </c>
      <c r="D940" s="80">
        <v>11</v>
      </c>
      <c r="E940" s="87">
        <v>4372</v>
      </c>
    </row>
    <row r="941" spans="1:5" x14ac:dyDescent="0.2">
      <c r="A941" s="83">
        <f t="shared" si="14"/>
        <v>99012</v>
      </c>
      <c r="B941" s="80">
        <v>99</v>
      </c>
      <c r="C941" s="80" t="s">
        <v>250</v>
      </c>
      <c r="D941" s="80">
        <v>12</v>
      </c>
      <c r="E941" s="87">
        <v>4129</v>
      </c>
    </row>
    <row r="942" spans="1:5" x14ac:dyDescent="0.2">
      <c r="A942" s="83">
        <f t="shared" si="14"/>
        <v>99013</v>
      </c>
      <c r="B942" s="80">
        <v>99</v>
      </c>
      <c r="C942" s="80" t="s">
        <v>250</v>
      </c>
      <c r="D942" s="80">
        <v>13</v>
      </c>
      <c r="E942" s="87">
        <v>4372</v>
      </c>
    </row>
    <row r="943" spans="1:5" x14ac:dyDescent="0.2">
      <c r="A943" s="83">
        <f t="shared" si="14"/>
        <v>99014</v>
      </c>
      <c r="B943" s="80">
        <v>99</v>
      </c>
      <c r="C943" s="80" t="s">
        <v>250</v>
      </c>
      <c r="D943" s="80">
        <v>14</v>
      </c>
      <c r="E943" s="87">
        <v>4372</v>
      </c>
    </row>
    <row r="944" spans="1:5" x14ac:dyDescent="0.2">
      <c r="A944" s="83">
        <f t="shared" si="14"/>
        <v>99015</v>
      </c>
      <c r="B944" s="80">
        <v>99</v>
      </c>
      <c r="C944" s="80" t="s">
        <v>250</v>
      </c>
      <c r="D944" s="80">
        <v>15</v>
      </c>
      <c r="E944" s="87">
        <v>4372</v>
      </c>
    </row>
    <row r="945" spans="1:5" x14ac:dyDescent="0.2">
      <c r="A945" s="83">
        <f t="shared" si="14"/>
        <v>99016</v>
      </c>
      <c r="B945" s="80">
        <v>99</v>
      </c>
      <c r="C945" s="80" t="s">
        <v>250</v>
      </c>
      <c r="D945" s="80">
        <v>16</v>
      </c>
      <c r="E945" s="87">
        <v>4372</v>
      </c>
    </row>
    <row r="946" spans="1:5" x14ac:dyDescent="0.2">
      <c r="A946" s="83">
        <f t="shared" si="14"/>
        <v>99017</v>
      </c>
      <c r="B946" s="80">
        <v>99</v>
      </c>
      <c r="C946" s="80" t="s">
        <v>250</v>
      </c>
      <c r="D946" s="80">
        <v>17</v>
      </c>
      <c r="E946" s="87">
        <v>4372</v>
      </c>
    </row>
    <row r="947" spans="1:5" x14ac:dyDescent="0.2">
      <c r="A947" s="83">
        <f t="shared" si="14"/>
        <v>99018</v>
      </c>
      <c r="B947" s="80">
        <v>99</v>
      </c>
      <c r="C947" s="80" t="s">
        <v>250</v>
      </c>
      <c r="D947" s="80">
        <v>18</v>
      </c>
      <c r="E947" s="87">
        <v>4372</v>
      </c>
    </row>
    <row r="948" spans="1:5" x14ac:dyDescent="0.2">
      <c r="A948" s="83">
        <f t="shared" si="14"/>
        <v>99019</v>
      </c>
      <c r="B948" s="80">
        <v>99</v>
      </c>
      <c r="C948" s="80" t="s">
        <v>250</v>
      </c>
      <c r="D948" s="80">
        <v>19</v>
      </c>
      <c r="E948" s="87">
        <v>4372</v>
      </c>
    </row>
    <row r="949" spans="1:5" x14ac:dyDescent="0.2">
      <c r="A949" s="83">
        <f t="shared" si="14"/>
        <v>100002</v>
      </c>
      <c r="B949" s="80">
        <v>100</v>
      </c>
      <c r="C949" s="80" t="s">
        <v>251</v>
      </c>
      <c r="D949" s="80">
        <v>2</v>
      </c>
      <c r="E949" s="87">
        <v>1932</v>
      </c>
    </row>
    <row r="950" spans="1:5" x14ac:dyDescent="0.2">
      <c r="A950" s="83">
        <f t="shared" si="14"/>
        <v>100003</v>
      </c>
      <c r="B950" s="80">
        <v>100</v>
      </c>
      <c r="C950" s="80" t="s">
        <v>251</v>
      </c>
      <c r="D950" s="80">
        <v>3</v>
      </c>
      <c r="E950" s="87">
        <v>1932</v>
      </c>
    </row>
    <row r="951" spans="1:5" x14ac:dyDescent="0.2">
      <c r="A951" s="83">
        <f t="shared" si="14"/>
        <v>100004</v>
      </c>
      <c r="B951" s="80">
        <v>100</v>
      </c>
      <c r="C951" s="80" t="s">
        <v>251</v>
      </c>
      <c r="D951" s="80">
        <v>4</v>
      </c>
      <c r="E951" s="87">
        <v>1932</v>
      </c>
    </row>
    <row r="952" spans="1:5" x14ac:dyDescent="0.2">
      <c r="A952" s="83">
        <f t="shared" si="14"/>
        <v>100005</v>
      </c>
      <c r="B952" s="80">
        <v>100</v>
      </c>
      <c r="C952" s="80" t="s">
        <v>251</v>
      </c>
      <c r="D952" s="80">
        <v>5</v>
      </c>
      <c r="E952" s="87">
        <v>1932</v>
      </c>
    </row>
    <row r="953" spans="1:5" x14ac:dyDescent="0.2">
      <c r="A953" s="83">
        <f t="shared" si="14"/>
        <v>100006</v>
      </c>
      <c r="B953" s="80">
        <v>100</v>
      </c>
      <c r="C953" s="80" t="s">
        <v>251</v>
      </c>
      <c r="D953" s="80">
        <v>6</v>
      </c>
      <c r="E953" s="87">
        <v>1932</v>
      </c>
    </row>
    <row r="954" spans="1:5" x14ac:dyDescent="0.2">
      <c r="A954" s="83">
        <f t="shared" si="14"/>
        <v>100007</v>
      </c>
      <c r="B954" s="80">
        <v>100</v>
      </c>
      <c r="C954" s="80" t="s">
        <v>251</v>
      </c>
      <c r="D954" s="80">
        <v>7</v>
      </c>
      <c r="E954" s="87">
        <v>1932</v>
      </c>
    </row>
    <row r="955" spans="1:5" x14ac:dyDescent="0.2">
      <c r="A955" s="83">
        <f t="shared" si="14"/>
        <v>100008</v>
      </c>
      <c r="B955" s="80">
        <v>100</v>
      </c>
      <c r="C955" s="80" t="s">
        <v>251</v>
      </c>
      <c r="D955" s="80">
        <v>8</v>
      </c>
      <c r="E955" s="87">
        <v>1932</v>
      </c>
    </row>
    <row r="956" spans="1:5" x14ac:dyDescent="0.2">
      <c r="A956" s="83">
        <f t="shared" si="14"/>
        <v>102001</v>
      </c>
      <c r="B956" s="80">
        <v>102</v>
      </c>
      <c r="C956" s="80" t="s">
        <v>252</v>
      </c>
      <c r="D956" s="80">
        <v>1</v>
      </c>
      <c r="E956" s="87">
        <v>3134</v>
      </c>
    </row>
    <row r="957" spans="1:5" x14ac:dyDescent="0.2">
      <c r="A957" s="83">
        <f t="shared" si="14"/>
        <v>102002</v>
      </c>
      <c r="B957" s="80">
        <v>102</v>
      </c>
      <c r="C957" s="80" t="s">
        <v>252</v>
      </c>
      <c r="D957" s="80">
        <v>2</v>
      </c>
      <c r="E957" s="87">
        <v>3134</v>
      </c>
    </row>
    <row r="958" spans="1:5" x14ac:dyDescent="0.2">
      <c r="A958" s="83">
        <f t="shared" si="14"/>
        <v>102003</v>
      </c>
      <c r="B958" s="80">
        <v>102</v>
      </c>
      <c r="C958" s="80" t="s">
        <v>252</v>
      </c>
      <c r="D958" s="80">
        <v>3</v>
      </c>
      <c r="E958" s="87">
        <v>3042</v>
      </c>
    </row>
    <row r="959" spans="1:5" x14ac:dyDescent="0.2">
      <c r="A959" s="83">
        <f t="shared" si="14"/>
        <v>102004</v>
      </c>
      <c r="B959" s="80">
        <v>102</v>
      </c>
      <c r="C959" s="80" t="s">
        <v>252</v>
      </c>
      <c r="D959" s="80">
        <v>4</v>
      </c>
      <c r="E959" s="87">
        <v>3042</v>
      </c>
    </row>
    <row r="960" spans="1:5" x14ac:dyDescent="0.2">
      <c r="A960" s="83">
        <f t="shared" si="14"/>
        <v>102005</v>
      </c>
      <c r="B960" s="80">
        <v>102</v>
      </c>
      <c r="C960" s="80" t="s">
        <v>252</v>
      </c>
      <c r="D960" s="80">
        <v>5</v>
      </c>
      <c r="E960" s="87">
        <v>3042</v>
      </c>
    </row>
    <row r="961" spans="1:5" x14ac:dyDescent="0.2">
      <c r="A961" s="83">
        <f t="shared" si="14"/>
        <v>102006</v>
      </c>
      <c r="B961" s="80">
        <v>102</v>
      </c>
      <c r="C961" s="80" t="s">
        <v>252</v>
      </c>
      <c r="D961" s="80">
        <v>6</v>
      </c>
      <c r="E961" s="87">
        <v>3134</v>
      </c>
    </row>
    <row r="962" spans="1:5" x14ac:dyDescent="0.2">
      <c r="A962" s="83">
        <f t="shared" si="14"/>
        <v>102007</v>
      </c>
      <c r="B962" s="80">
        <v>102</v>
      </c>
      <c r="C962" s="80" t="s">
        <v>252</v>
      </c>
      <c r="D962" s="80">
        <v>7</v>
      </c>
      <c r="E962" s="87">
        <v>3042</v>
      </c>
    </row>
    <row r="963" spans="1:5" x14ac:dyDescent="0.2">
      <c r="A963" s="83">
        <f t="shared" ref="A963:A1026" si="15">+B963*1000+D963</f>
        <v>102008</v>
      </c>
      <c r="B963" s="80">
        <v>102</v>
      </c>
      <c r="C963" s="80" t="s">
        <v>252</v>
      </c>
      <c r="D963" s="80">
        <v>8</v>
      </c>
      <c r="E963" s="87">
        <v>3134</v>
      </c>
    </row>
    <row r="964" spans="1:5" x14ac:dyDescent="0.2">
      <c r="A964" s="83">
        <f t="shared" si="15"/>
        <v>102009</v>
      </c>
      <c r="B964" s="80">
        <v>102</v>
      </c>
      <c r="C964" s="80" t="s">
        <v>252</v>
      </c>
      <c r="D964" s="80">
        <v>9</v>
      </c>
      <c r="E964" s="87">
        <v>3042</v>
      </c>
    </row>
    <row r="965" spans="1:5" x14ac:dyDescent="0.2">
      <c r="A965" s="83">
        <f t="shared" si="15"/>
        <v>102010</v>
      </c>
      <c r="B965" s="80">
        <v>102</v>
      </c>
      <c r="C965" s="80" t="s">
        <v>252</v>
      </c>
      <c r="D965" s="80">
        <v>10</v>
      </c>
      <c r="E965" s="87">
        <v>2673</v>
      </c>
    </row>
    <row r="966" spans="1:5" x14ac:dyDescent="0.2">
      <c r="A966" s="83">
        <f t="shared" si="15"/>
        <v>102011</v>
      </c>
      <c r="B966" s="80">
        <v>102</v>
      </c>
      <c r="C966" s="80" t="s">
        <v>252</v>
      </c>
      <c r="D966" s="80">
        <v>11</v>
      </c>
      <c r="E966" s="87">
        <v>3134</v>
      </c>
    </row>
    <row r="967" spans="1:5" x14ac:dyDescent="0.2">
      <c r="A967" s="83">
        <f t="shared" si="15"/>
        <v>102012</v>
      </c>
      <c r="B967" s="80">
        <v>102</v>
      </c>
      <c r="C967" s="80" t="s">
        <v>252</v>
      </c>
      <c r="D967" s="80">
        <v>12</v>
      </c>
      <c r="E967" s="87">
        <v>3134</v>
      </c>
    </row>
    <row r="968" spans="1:5" x14ac:dyDescent="0.2">
      <c r="A968" s="83">
        <f t="shared" si="15"/>
        <v>102013</v>
      </c>
      <c r="B968" s="80">
        <v>102</v>
      </c>
      <c r="C968" s="80" t="s">
        <v>252</v>
      </c>
      <c r="D968" s="80">
        <v>13</v>
      </c>
      <c r="E968" s="87">
        <v>3134</v>
      </c>
    </row>
    <row r="969" spans="1:5" x14ac:dyDescent="0.2">
      <c r="A969" s="83">
        <f t="shared" si="15"/>
        <v>103001</v>
      </c>
      <c r="B969" s="80">
        <v>103</v>
      </c>
      <c r="C969" s="80" t="s">
        <v>253</v>
      </c>
      <c r="D969" s="80">
        <v>1</v>
      </c>
      <c r="E969" s="87">
        <v>2487</v>
      </c>
    </row>
    <row r="970" spans="1:5" x14ac:dyDescent="0.2">
      <c r="A970" s="83">
        <f t="shared" si="15"/>
        <v>103002</v>
      </c>
      <c r="B970" s="80">
        <v>103</v>
      </c>
      <c r="C970" s="80" t="s">
        <v>253</v>
      </c>
      <c r="D970" s="80">
        <v>2</v>
      </c>
      <c r="E970" s="87">
        <v>2638</v>
      </c>
    </row>
    <row r="971" spans="1:5" x14ac:dyDescent="0.2">
      <c r="A971" s="83">
        <f t="shared" si="15"/>
        <v>103003</v>
      </c>
      <c r="B971" s="80">
        <v>103</v>
      </c>
      <c r="C971" s="80" t="s">
        <v>253</v>
      </c>
      <c r="D971" s="80">
        <v>3</v>
      </c>
      <c r="E971" s="87">
        <v>2487</v>
      </c>
    </row>
    <row r="972" spans="1:5" x14ac:dyDescent="0.2">
      <c r="A972" s="83">
        <f t="shared" si="15"/>
        <v>103004</v>
      </c>
      <c r="B972" s="80">
        <v>103</v>
      </c>
      <c r="C972" s="80" t="s">
        <v>253</v>
      </c>
      <c r="D972" s="80">
        <v>4</v>
      </c>
      <c r="E972" s="87">
        <v>2261</v>
      </c>
    </row>
    <row r="973" spans="1:5" x14ac:dyDescent="0.2">
      <c r="A973" s="83">
        <f t="shared" si="15"/>
        <v>103005</v>
      </c>
      <c r="B973" s="80">
        <v>103</v>
      </c>
      <c r="C973" s="80" t="s">
        <v>253</v>
      </c>
      <c r="D973" s="80">
        <v>5</v>
      </c>
      <c r="E973" s="87">
        <v>2261</v>
      </c>
    </row>
    <row r="974" spans="1:5" x14ac:dyDescent="0.2">
      <c r="A974" s="83">
        <f t="shared" si="15"/>
        <v>103006</v>
      </c>
      <c r="B974" s="80">
        <v>103</v>
      </c>
      <c r="C974" s="80" t="s">
        <v>253</v>
      </c>
      <c r="D974" s="80">
        <v>6</v>
      </c>
      <c r="E974" s="87">
        <v>2261</v>
      </c>
    </row>
    <row r="975" spans="1:5" x14ac:dyDescent="0.2">
      <c r="A975" s="83">
        <f t="shared" si="15"/>
        <v>103007</v>
      </c>
      <c r="B975" s="80">
        <v>103</v>
      </c>
      <c r="C975" s="80" t="s">
        <v>253</v>
      </c>
      <c r="D975" s="80">
        <v>7</v>
      </c>
      <c r="E975" s="87">
        <v>2261</v>
      </c>
    </row>
    <row r="976" spans="1:5" x14ac:dyDescent="0.2">
      <c r="A976" s="83">
        <f t="shared" si="15"/>
        <v>103008</v>
      </c>
      <c r="B976" s="80">
        <v>103</v>
      </c>
      <c r="C976" s="80" t="s">
        <v>253</v>
      </c>
      <c r="D976" s="80">
        <v>8</v>
      </c>
      <c r="E976" s="87">
        <v>2487</v>
      </c>
    </row>
    <row r="977" spans="1:5" x14ac:dyDescent="0.2">
      <c r="A977" s="83">
        <f t="shared" si="15"/>
        <v>103009</v>
      </c>
      <c r="B977" s="80">
        <v>103</v>
      </c>
      <c r="C977" s="80" t="s">
        <v>253</v>
      </c>
      <c r="D977" s="80">
        <v>9</v>
      </c>
      <c r="E977" s="87">
        <v>2261</v>
      </c>
    </row>
    <row r="978" spans="1:5" x14ac:dyDescent="0.2">
      <c r="A978" s="83">
        <f t="shared" si="15"/>
        <v>103010</v>
      </c>
      <c r="B978" s="80">
        <v>103</v>
      </c>
      <c r="C978" s="80" t="s">
        <v>253</v>
      </c>
      <c r="D978" s="80">
        <v>10</v>
      </c>
      <c r="E978" s="87">
        <v>2261</v>
      </c>
    </row>
    <row r="979" spans="1:5" x14ac:dyDescent="0.2">
      <c r="A979" s="83">
        <f t="shared" si="15"/>
        <v>103011</v>
      </c>
      <c r="B979" s="80">
        <v>103</v>
      </c>
      <c r="C979" s="80" t="s">
        <v>253</v>
      </c>
      <c r="D979" s="80">
        <v>11</v>
      </c>
      <c r="E979" s="87">
        <v>2186</v>
      </c>
    </row>
    <row r="980" spans="1:5" x14ac:dyDescent="0.2">
      <c r="A980" s="83">
        <f t="shared" si="15"/>
        <v>103012</v>
      </c>
      <c r="B980" s="80">
        <v>103</v>
      </c>
      <c r="C980" s="80" t="s">
        <v>253</v>
      </c>
      <c r="D980" s="80">
        <v>12</v>
      </c>
      <c r="E980" s="87">
        <v>2261</v>
      </c>
    </row>
    <row r="981" spans="1:5" x14ac:dyDescent="0.2">
      <c r="A981" s="83">
        <f t="shared" si="15"/>
        <v>104001</v>
      </c>
      <c r="B981" s="80">
        <v>104</v>
      </c>
      <c r="C981" s="80" t="s">
        <v>254</v>
      </c>
      <c r="D981" s="80">
        <v>1</v>
      </c>
      <c r="E981" s="87">
        <v>1329</v>
      </c>
    </row>
    <row r="982" spans="1:5" x14ac:dyDescent="0.2">
      <c r="A982" s="83">
        <f t="shared" si="15"/>
        <v>104002</v>
      </c>
      <c r="B982" s="80">
        <v>104</v>
      </c>
      <c r="C982" s="80" t="s">
        <v>254</v>
      </c>
      <c r="D982" s="80">
        <v>2</v>
      </c>
      <c r="E982" s="87">
        <v>1329</v>
      </c>
    </row>
    <row r="983" spans="1:5" x14ac:dyDescent="0.2">
      <c r="A983" s="83">
        <f t="shared" si="15"/>
        <v>104003</v>
      </c>
      <c r="B983" s="80">
        <v>104</v>
      </c>
      <c r="C983" s="80" t="s">
        <v>254</v>
      </c>
      <c r="D983" s="80">
        <v>3</v>
      </c>
      <c r="E983" s="87">
        <v>1284</v>
      </c>
    </row>
    <row r="984" spans="1:5" x14ac:dyDescent="0.2">
      <c r="A984" s="83">
        <f t="shared" si="15"/>
        <v>104004</v>
      </c>
      <c r="B984" s="80">
        <v>104</v>
      </c>
      <c r="C984" s="80" t="s">
        <v>254</v>
      </c>
      <c r="D984" s="80">
        <v>4</v>
      </c>
      <c r="E984" s="87">
        <v>1284</v>
      </c>
    </row>
    <row r="985" spans="1:5" x14ac:dyDescent="0.2">
      <c r="A985" s="83">
        <f t="shared" si="15"/>
        <v>104005</v>
      </c>
      <c r="B985" s="80">
        <v>104</v>
      </c>
      <c r="C985" s="80" t="s">
        <v>254</v>
      </c>
      <c r="D985" s="80">
        <v>5</v>
      </c>
      <c r="E985" s="87">
        <v>1329</v>
      </c>
    </row>
    <row r="986" spans="1:5" x14ac:dyDescent="0.2">
      <c r="A986" s="83">
        <f t="shared" si="15"/>
        <v>104006</v>
      </c>
      <c r="B986" s="80">
        <v>104</v>
      </c>
      <c r="C986" s="80" t="s">
        <v>254</v>
      </c>
      <c r="D986" s="80">
        <v>6</v>
      </c>
      <c r="E986" s="87">
        <v>1284</v>
      </c>
    </row>
    <row r="987" spans="1:5" x14ac:dyDescent="0.2">
      <c r="A987" s="83">
        <f t="shared" si="15"/>
        <v>104007</v>
      </c>
      <c r="B987" s="80">
        <v>104</v>
      </c>
      <c r="C987" s="80" t="s">
        <v>254</v>
      </c>
      <c r="D987" s="80">
        <v>7</v>
      </c>
      <c r="E987" s="87">
        <v>1329</v>
      </c>
    </row>
    <row r="988" spans="1:5" x14ac:dyDescent="0.2">
      <c r="A988" s="83">
        <f t="shared" si="15"/>
        <v>104008</v>
      </c>
      <c r="B988" s="80">
        <v>104</v>
      </c>
      <c r="C988" s="80" t="s">
        <v>254</v>
      </c>
      <c r="D988" s="80">
        <v>8</v>
      </c>
      <c r="E988" s="87">
        <v>1284</v>
      </c>
    </row>
    <row r="989" spans="1:5" x14ac:dyDescent="0.2">
      <c r="A989" s="83">
        <f t="shared" si="15"/>
        <v>104009</v>
      </c>
      <c r="B989" s="80">
        <v>104</v>
      </c>
      <c r="C989" s="80" t="s">
        <v>254</v>
      </c>
      <c r="D989" s="80">
        <v>9</v>
      </c>
      <c r="E989" s="87">
        <v>1329</v>
      </c>
    </row>
    <row r="990" spans="1:5" x14ac:dyDescent="0.2">
      <c r="A990" s="83">
        <f t="shared" si="15"/>
        <v>104010</v>
      </c>
      <c r="B990" s="80">
        <v>104</v>
      </c>
      <c r="C990" s="80" t="s">
        <v>254</v>
      </c>
      <c r="D990" s="80">
        <v>10</v>
      </c>
      <c r="E990" s="87">
        <v>1274</v>
      </c>
    </row>
    <row r="991" spans="1:5" x14ac:dyDescent="0.2">
      <c r="A991" s="83">
        <f t="shared" si="15"/>
        <v>105001</v>
      </c>
      <c r="B991" s="80">
        <v>105</v>
      </c>
      <c r="C991" s="80" t="s">
        <v>255</v>
      </c>
      <c r="D991" s="80">
        <v>1</v>
      </c>
      <c r="E991" s="87">
        <v>1339</v>
      </c>
    </row>
    <row r="992" spans="1:5" x14ac:dyDescent="0.2">
      <c r="A992" s="83">
        <f t="shared" si="15"/>
        <v>105002</v>
      </c>
      <c r="B992" s="80">
        <v>105</v>
      </c>
      <c r="C992" s="80" t="s">
        <v>255</v>
      </c>
      <c r="D992" s="80">
        <v>2</v>
      </c>
      <c r="E992" s="87">
        <v>1339</v>
      </c>
    </row>
    <row r="993" spans="1:5" x14ac:dyDescent="0.2">
      <c r="A993" s="83">
        <f t="shared" si="15"/>
        <v>105003</v>
      </c>
      <c r="B993" s="80">
        <v>105</v>
      </c>
      <c r="C993" s="80" t="s">
        <v>255</v>
      </c>
      <c r="D993" s="80">
        <v>3</v>
      </c>
      <c r="E993" s="87">
        <v>1339</v>
      </c>
    </row>
    <row r="994" spans="1:5" x14ac:dyDescent="0.2">
      <c r="A994" s="83">
        <f t="shared" si="15"/>
        <v>105004</v>
      </c>
      <c r="B994" s="80">
        <v>105</v>
      </c>
      <c r="C994" s="80" t="s">
        <v>255</v>
      </c>
      <c r="D994" s="80">
        <v>4</v>
      </c>
      <c r="E994" s="87">
        <v>1339</v>
      </c>
    </row>
    <row r="995" spans="1:5" x14ac:dyDescent="0.2">
      <c r="A995" s="83">
        <f t="shared" si="15"/>
        <v>105005</v>
      </c>
      <c r="B995" s="80">
        <v>105</v>
      </c>
      <c r="C995" s="80" t="s">
        <v>255</v>
      </c>
      <c r="D995" s="80">
        <v>5</v>
      </c>
      <c r="E995" s="87">
        <v>1339</v>
      </c>
    </row>
    <row r="996" spans="1:5" x14ac:dyDescent="0.2">
      <c r="A996" s="83">
        <f t="shared" si="15"/>
        <v>105006</v>
      </c>
      <c r="B996" s="80">
        <v>105</v>
      </c>
      <c r="C996" s="80" t="s">
        <v>255</v>
      </c>
      <c r="D996" s="80">
        <v>6</v>
      </c>
      <c r="E996" s="87">
        <v>1339</v>
      </c>
    </row>
    <row r="997" spans="1:5" x14ac:dyDescent="0.2">
      <c r="A997" s="83">
        <f t="shared" si="15"/>
        <v>106001</v>
      </c>
      <c r="B997" s="80">
        <v>106</v>
      </c>
      <c r="C997" s="80" t="s">
        <v>256</v>
      </c>
      <c r="D997" s="80">
        <v>1</v>
      </c>
      <c r="E997" s="87">
        <v>1408</v>
      </c>
    </row>
    <row r="998" spans="1:5" x14ac:dyDescent="0.2">
      <c r="A998" s="83">
        <f t="shared" si="15"/>
        <v>106002</v>
      </c>
      <c r="B998" s="80">
        <v>106</v>
      </c>
      <c r="C998" s="80" t="s">
        <v>256</v>
      </c>
      <c r="D998" s="80">
        <v>2</v>
      </c>
      <c r="E998" s="87">
        <v>1408</v>
      </c>
    </row>
    <row r="999" spans="1:5" x14ac:dyDescent="0.2">
      <c r="A999" s="83">
        <f t="shared" si="15"/>
        <v>106003</v>
      </c>
      <c r="B999" s="80">
        <v>106</v>
      </c>
      <c r="C999" s="80" t="s">
        <v>256</v>
      </c>
      <c r="D999" s="80">
        <v>3</v>
      </c>
      <c r="E999" s="87">
        <v>1201</v>
      </c>
    </row>
    <row r="1000" spans="1:5" x14ac:dyDescent="0.2">
      <c r="A1000" s="83">
        <f t="shared" si="15"/>
        <v>106004</v>
      </c>
      <c r="B1000" s="80">
        <v>106</v>
      </c>
      <c r="C1000" s="80" t="s">
        <v>256</v>
      </c>
      <c r="D1000" s="80">
        <v>4</v>
      </c>
      <c r="E1000" s="87">
        <v>1201</v>
      </c>
    </row>
    <row r="1001" spans="1:5" x14ac:dyDescent="0.2">
      <c r="A1001" s="83">
        <f t="shared" si="15"/>
        <v>106005</v>
      </c>
      <c r="B1001" s="80">
        <v>106</v>
      </c>
      <c r="C1001" s="80" t="s">
        <v>256</v>
      </c>
      <c r="D1001" s="80">
        <v>5</v>
      </c>
      <c r="E1001" s="87">
        <v>1201</v>
      </c>
    </row>
    <row r="1002" spans="1:5" x14ac:dyDescent="0.2">
      <c r="A1002" s="83">
        <f t="shared" si="15"/>
        <v>106006</v>
      </c>
      <c r="B1002" s="80">
        <v>106</v>
      </c>
      <c r="C1002" s="80" t="s">
        <v>256</v>
      </c>
      <c r="D1002" s="80">
        <v>6</v>
      </c>
      <c r="E1002" s="87">
        <v>1242</v>
      </c>
    </row>
    <row r="1003" spans="1:5" x14ac:dyDescent="0.2">
      <c r="A1003" s="83">
        <f t="shared" si="15"/>
        <v>106007</v>
      </c>
      <c r="B1003" s="80">
        <v>106</v>
      </c>
      <c r="C1003" s="80" t="s">
        <v>256</v>
      </c>
      <c r="D1003" s="80">
        <v>7</v>
      </c>
      <c r="E1003" s="87">
        <v>1242</v>
      </c>
    </row>
    <row r="1004" spans="1:5" x14ac:dyDescent="0.2">
      <c r="A1004" s="83">
        <f t="shared" si="15"/>
        <v>106008</v>
      </c>
      <c r="B1004" s="80">
        <v>106</v>
      </c>
      <c r="C1004" s="80" t="s">
        <v>256</v>
      </c>
      <c r="D1004" s="80">
        <v>8</v>
      </c>
      <c r="E1004" s="87">
        <v>1242</v>
      </c>
    </row>
    <row r="1005" spans="1:5" x14ac:dyDescent="0.2">
      <c r="A1005" s="83">
        <f t="shared" si="15"/>
        <v>106009</v>
      </c>
      <c r="B1005" s="80">
        <v>106</v>
      </c>
      <c r="C1005" s="80" t="s">
        <v>256</v>
      </c>
      <c r="D1005" s="80">
        <v>9</v>
      </c>
      <c r="E1005" s="87">
        <v>1408</v>
      </c>
    </row>
    <row r="1006" spans="1:5" x14ac:dyDescent="0.2">
      <c r="A1006" s="83">
        <f t="shared" si="15"/>
        <v>106010</v>
      </c>
      <c r="B1006" s="80">
        <v>106</v>
      </c>
      <c r="C1006" s="80" t="s">
        <v>256</v>
      </c>
      <c r="D1006" s="80">
        <v>10</v>
      </c>
      <c r="E1006" s="87">
        <v>1242</v>
      </c>
    </row>
    <row r="1007" spans="1:5" x14ac:dyDescent="0.2">
      <c r="A1007" s="83">
        <f t="shared" si="15"/>
        <v>107001</v>
      </c>
      <c r="B1007" s="80">
        <v>107</v>
      </c>
      <c r="C1007" s="80" t="s">
        <v>257</v>
      </c>
      <c r="D1007" s="80">
        <v>1</v>
      </c>
      <c r="E1007" s="87">
        <v>1902</v>
      </c>
    </row>
    <row r="1008" spans="1:5" x14ac:dyDescent="0.2">
      <c r="A1008" s="83">
        <f t="shared" si="15"/>
        <v>107002</v>
      </c>
      <c r="B1008" s="80">
        <v>107</v>
      </c>
      <c r="C1008" s="80" t="s">
        <v>257</v>
      </c>
      <c r="D1008" s="80">
        <v>2</v>
      </c>
      <c r="E1008" s="87">
        <v>1902</v>
      </c>
    </row>
    <row r="1009" spans="1:5" x14ac:dyDescent="0.2">
      <c r="A1009" s="83">
        <f t="shared" si="15"/>
        <v>107003</v>
      </c>
      <c r="B1009" s="80">
        <v>107</v>
      </c>
      <c r="C1009" s="80" t="s">
        <v>257</v>
      </c>
      <c r="D1009" s="80">
        <v>3</v>
      </c>
      <c r="E1009" s="87">
        <v>1836</v>
      </c>
    </row>
    <row r="1010" spans="1:5" x14ac:dyDescent="0.2">
      <c r="A1010" s="83">
        <f t="shared" si="15"/>
        <v>107004</v>
      </c>
      <c r="B1010" s="80">
        <v>107</v>
      </c>
      <c r="C1010" s="80" t="s">
        <v>257</v>
      </c>
      <c r="D1010" s="80">
        <v>4</v>
      </c>
      <c r="E1010" s="87">
        <v>1574</v>
      </c>
    </row>
    <row r="1011" spans="1:5" x14ac:dyDescent="0.2">
      <c r="A1011" s="83">
        <f t="shared" si="15"/>
        <v>107005</v>
      </c>
      <c r="B1011" s="80">
        <v>107</v>
      </c>
      <c r="C1011" s="80" t="s">
        <v>257</v>
      </c>
      <c r="D1011" s="80">
        <v>5</v>
      </c>
      <c r="E1011" s="87">
        <v>1705</v>
      </c>
    </row>
    <row r="1012" spans="1:5" x14ac:dyDescent="0.2">
      <c r="A1012" s="83">
        <f t="shared" si="15"/>
        <v>107006</v>
      </c>
      <c r="B1012" s="80">
        <v>107</v>
      </c>
      <c r="C1012" s="80" t="s">
        <v>257</v>
      </c>
      <c r="D1012" s="80">
        <v>6</v>
      </c>
      <c r="E1012" s="87">
        <v>1705</v>
      </c>
    </row>
    <row r="1013" spans="1:5" x14ac:dyDescent="0.2">
      <c r="A1013" s="83">
        <f t="shared" si="15"/>
        <v>107007</v>
      </c>
      <c r="B1013" s="80">
        <v>107</v>
      </c>
      <c r="C1013" s="80" t="s">
        <v>257</v>
      </c>
      <c r="D1013" s="80">
        <v>7</v>
      </c>
      <c r="E1013" s="87">
        <v>1705</v>
      </c>
    </row>
    <row r="1014" spans="1:5" x14ac:dyDescent="0.2">
      <c r="A1014" s="83">
        <f t="shared" si="15"/>
        <v>107008</v>
      </c>
      <c r="B1014" s="80">
        <v>107</v>
      </c>
      <c r="C1014" s="80" t="s">
        <v>257</v>
      </c>
      <c r="D1014" s="80">
        <v>8</v>
      </c>
      <c r="E1014" s="87">
        <v>1836</v>
      </c>
    </row>
    <row r="1015" spans="1:5" x14ac:dyDescent="0.2">
      <c r="A1015" s="83">
        <f t="shared" si="15"/>
        <v>107009</v>
      </c>
      <c r="B1015" s="80">
        <v>107</v>
      </c>
      <c r="C1015" s="80" t="s">
        <v>257</v>
      </c>
      <c r="D1015" s="80">
        <v>9</v>
      </c>
      <c r="E1015" s="87">
        <v>1836</v>
      </c>
    </row>
    <row r="1016" spans="1:5" x14ac:dyDescent="0.2">
      <c r="A1016" s="83">
        <f t="shared" si="15"/>
        <v>107010</v>
      </c>
      <c r="B1016" s="80">
        <v>107</v>
      </c>
      <c r="C1016" s="80" t="s">
        <v>257</v>
      </c>
      <c r="D1016" s="80">
        <v>10</v>
      </c>
      <c r="E1016" s="87">
        <v>1836</v>
      </c>
    </row>
    <row r="1017" spans="1:5" x14ac:dyDescent="0.2">
      <c r="A1017" s="83">
        <f t="shared" si="15"/>
        <v>107011</v>
      </c>
      <c r="B1017" s="80">
        <v>107</v>
      </c>
      <c r="C1017" s="80" t="s">
        <v>257</v>
      </c>
      <c r="D1017" s="80">
        <v>11</v>
      </c>
      <c r="E1017" s="87">
        <v>1836</v>
      </c>
    </row>
    <row r="1018" spans="1:5" x14ac:dyDescent="0.2">
      <c r="A1018" s="83">
        <f t="shared" si="15"/>
        <v>107012</v>
      </c>
      <c r="B1018" s="80">
        <v>107</v>
      </c>
      <c r="C1018" s="80" t="s">
        <v>257</v>
      </c>
      <c r="D1018" s="80">
        <v>12</v>
      </c>
      <c r="E1018" s="87">
        <v>1902</v>
      </c>
    </row>
    <row r="1019" spans="1:5" x14ac:dyDescent="0.2">
      <c r="A1019" s="83">
        <f t="shared" si="15"/>
        <v>107013</v>
      </c>
      <c r="B1019" s="80">
        <v>107</v>
      </c>
      <c r="C1019" s="80" t="s">
        <v>257</v>
      </c>
      <c r="D1019" s="80">
        <v>13</v>
      </c>
      <c r="E1019" s="87">
        <v>1902</v>
      </c>
    </row>
    <row r="1020" spans="1:5" x14ac:dyDescent="0.2">
      <c r="A1020" s="83">
        <f t="shared" si="15"/>
        <v>107014</v>
      </c>
      <c r="B1020" s="80">
        <v>107</v>
      </c>
      <c r="C1020" s="80" t="s">
        <v>257</v>
      </c>
      <c r="D1020" s="80">
        <v>14</v>
      </c>
      <c r="E1020" s="87">
        <v>1836</v>
      </c>
    </row>
    <row r="1021" spans="1:5" x14ac:dyDescent="0.2">
      <c r="A1021" s="83">
        <f t="shared" si="15"/>
        <v>107015</v>
      </c>
      <c r="B1021" s="80">
        <v>107</v>
      </c>
      <c r="C1021" s="80" t="s">
        <v>257</v>
      </c>
      <c r="D1021" s="80">
        <v>15</v>
      </c>
      <c r="E1021" s="87">
        <v>1836</v>
      </c>
    </row>
    <row r="1022" spans="1:5" x14ac:dyDescent="0.2">
      <c r="A1022" s="83">
        <f t="shared" si="15"/>
        <v>107016</v>
      </c>
      <c r="B1022" s="80">
        <v>107</v>
      </c>
      <c r="C1022" s="80" t="s">
        <v>257</v>
      </c>
      <c r="D1022" s="80">
        <v>16</v>
      </c>
      <c r="E1022" s="87">
        <v>1836</v>
      </c>
    </row>
    <row r="1023" spans="1:5" x14ac:dyDescent="0.2">
      <c r="A1023" s="83">
        <f t="shared" si="15"/>
        <v>107017</v>
      </c>
      <c r="B1023" s="80">
        <v>107</v>
      </c>
      <c r="C1023" s="80" t="s">
        <v>257</v>
      </c>
      <c r="D1023" s="80">
        <v>17</v>
      </c>
      <c r="E1023" s="87">
        <v>1902</v>
      </c>
    </row>
    <row r="1024" spans="1:5" x14ac:dyDescent="0.2">
      <c r="A1024" s="83">
        <f t="shared" si="15"/>
        <v>108001</v>
      </c>
      <c r="B1024" s="80">
        <v>108</v>
      </c>
      <c r="C1024" s="80" t="s">
        <v>258</v>
      </c>
      <c r="D1024" s="80">
        <v>1</v>
      </c>
      <c r="E1024" s="87">
        <v>2055</v>
      </c>
    </row>
    <row r="1025" spans="1:5" x14ac:dyDescent="0.2">
      <c r="A1025" s="83">
        <f t="shared" si="15"/>
        <v>108002</v>
      </c>
      <c r="B1025" s="80">
        <v>108</v>
      </c>
      <c r="C1025" s="80" t="s">
        <v>258</v>
      </c>
      <c r="D1025" s="80">
        <v>2</v>
      </c>
      <c r="E1025" s="87">
        <v>2055</v>
      </c>
    </row>
    <row r="1026" spans="1:5" x14ac:dyDescent="0.2">
      <c r="A1026" s="83">
        <f t="shared" si="15"/>
        <v>108003</v>
      </c>
      <c r="B1026" s="80">
        <v>108</v>
      </c>
      <c r="C1026" s="80" t="s">
        <v>258</v>
      </c>
      <c r="D1026" s="80">
        <v>3</v>
      </c>
      <c r="E1026" s="87">
        <v>1752</v>
      </c>
    </row>
    <row r="1027" spans="1:5" x14ac:dyDescent="0.2">
      <c r="A1027" s="83">
        <f t="shared" ref="A1027:A1090" si="16">+B1027*1000+D1027</f>
        <v>108004</v>
      </c>
      <c r="B1027" s="80">
        <v>108</v>
      </c>
      <c r="C1027" s="80" t="s">
        <v>258</v>
      </c>
      <c r="D1027" s="80">
        <v>4</v>
      </c>
      <c r="E1027" s="87">
        <v>1813</v>
      </c>
    </row>
    <row r="1028" spans="1:5" x14ac:dyDescent="0.2">
      <c r="A1028" s="83">
        <f t="shared" si="16"/>
        <v>108005</v>
      </c>
      <c r="B1028" s="80">
        <v>108</v>
      </c>
      <c r="C1028" s="80" t="s">
        <v>258</v>
      </c>
      <c r="D1028" s="80">
        <v>5</v>
      </c>
      <c r="E1028" s="87">
        <v>1813</v>
      </c>
    </row>
    <row r="1029" spans="1:5" x14ac:dyDescent="0.2">
      <c r="A1029" s="83">
        <f t="shared" si="16"/>
        <v>108006</v>
      </c>
      <c r="B1029" s="80">
        <v>108</v>
      </c>
      <c r="C1029" s="80" t="s">
        <v>258</v>
      </c>
      <c r="D1029" s="80">
        <v>6</v>
      </c>
      <c r="E1029" s="87">
        <v>1813</v>
      </c>
    </row>
    <row r="1030" spans="1:5" x14ac:dyDescent="0.2">
      <c r="A1030" s="83">
        <f t="shared" si="16"/>
        <v>108007</v>
      </c>
      <c r="B1030" s="80">
        <v>108</v>
      </c>
      <c r="C1030" s="80" t="s">
        <v>258</v>
      </c>
      <c r="D1030" s="80">
        <v>7</v>
      </c>
      <c r="E1030" s="87">
        <v>1994</v>
      </c>
    </row>
    <row r="1031" spans="1:5" x14ac:dyDescent="0.2">
      <c r="A1031" s="83">
        <f t="shared" si="16"/>
        <v>108008</v>
      </c>
      <c r="B1031" s="80">
        <v>108</v>
      </c>
      <c r="C1031" s="80" t="s">
        <v>258</v>
      </c>
      <c r="D1031" s="80">
        <v>8</v>
      </c>
      <c r="E1031" s="87">
        <v>1813</v>
      </c>
    </row>
    <row r="1032" spans="1:5" x14ac:dyDescent="0.2">
      <c r="A1032" s="83">
        <f t="shared" si="16"/>
        <v>108009</v>
      </c>
      <c r="B1032" s="80">
        <v>108</v>
      </c>
      <c r="C1032" s="80" t="s">
        <v>258</v>
      </c>
      <c r="D1032" s="80">
        <v>9</v>
      </c>
      <c r="E1032" s="87">
        <v>1813</v>
      </c>
    </row>
    <row r="1033" spans="1:5" x14ac:dyDescent="0.2">
      <c r="A1033" s="83">
        <f t="shared" si="16"/>
        <v>108010</v>
      </c>
      <c r="B1033" s="80">
        <v>108</v>
      </c>
      <c r="C1033" s="80" t="s">
        <v>258</v>
      </c>
      <c r="D1033" s="80">
        <v>10</v>
      </c>
      <c r="E1033" s="87">
        <v>2055</v>
      </c>
    </row>
    <row r="1034" spans="1:5" x14ac:dyDescent="0.2">
      <c r="A1034" s="83">
        <f t="shared" si="16"/>
        <v>108011</v>
      </c>
      <c r="B1034" s="80">
        <v>108</v>
      </c>
      <c r="C1034" s="80" t="s">
        <v>258</v>
      </c>
      <c r="D1034" s="80">
        <v>11</v>
      </c>
      <c r="E1034" s="87">
        <v>2055</v>
      </c>
    </row>
    <row r="1035" spans="1:5" x14ac:dyDescent="0.2">
      <c r="A1035" s="83">
        <f t="shared" si="16"/>
        <v>108012</v>
      </c>
      <c r="B1035" s="80">
        <v>108</v>
      </c>
      <c r="C1035" s="80" t="s">
        <v>258</v>
      </c>
      <c r="D1035" s="80">
        <v>12</v>
      </c>
      <c r="E1035" s="87">
        <v>1813</v>
      </c>
    </row>
    <row r="1036" spans="1:5" x14ac:dyDescent="0.2">
      <c r="A1036" s="83">
        <f t="shared" si="16"/>
        <v>108013</v>
      </c>
      <c r="B1036" s="80">
        <v>108</v>
      </c>
      <c r="C1036" s="80" t="s">
        <v>258</v>
      </c>
      <c r="D1036" s="80">
        <v>13</v>
      </c>
      <c r="E1036" s="87">
        <v>1813</v>
      </c>
    </row>
    <row r="1037" spans="1:5" x14ac:dyDescent="0.2">
      <c r="A1037" s="83">
        <f t="shared" si="16"/>
        <v>108014</v>
      </c>
      <c r="B1037" s="80">
        <v>108</v>
      </c>
      <c r="C1037" s="80" t="s">
        <v>258</v>
      </c>
      <c r="D1037" s="80">
        <v>14</v>
      </c>
      <c r="E1037" s="87">
        <v>1994</v>
      </c>
    </row>
    <row r="1038" spans="1:5" x14ac:dyDescent="0.2">
      <c r="A1038" s="83">
        <f t="shared" si="16"/>
        <v>108015</v>
      </c>
      <c r="B1038" s="80">
        <v>108</v>
      </c>
      <c r="C1038" s="80" t="s">
        <v>258</v>
      </c>
      <c r="D1038" s="80">
        <v>15</v>
      </c>
      <c r="E1038" s="87">
        <v>1813</v>
      </c>
    </row>
    <row r="1039" spans="1:5" x14ac:dyDescent="0.2">
      <c r="A1039" s="83">
        <f t="shared" si="16"/>
        <v>108017</v>
      </c>
      <c r="B1039" s="80">
        <v>108</v>
      </c>
      <c r="C1039" s="80" t="s">
        <v>258</v>
      </c>
      <c r="D1039" s="80">
        <v>17</v>
      </c>
      <c r="E1039" s="87">
        <v>1813</v>
      </c>
    </row>
    <row r="1040" spans="1:5" x14ac:dyDescent="0.2">
      <c r="A1040" s="83">
        <f t="shared" si="16"/>
        <v>108018</v>
      </c>
      <c r="B1040" s="80">
        <v>108</v>
      </c>
      <c r="C1040" s="80" t="s">
        <v>258</v>
      </c>
      <c r="D1040" s="80">
        <v>18</v>
      </c>
      <c r="E1040" s="87">
        <v>1813</v>
      </c>
    </row>
    <row r="1041" spans="1:5" x14ac:dyDescent="0.2">
      <c r="A1041" s="83">
        <f t="shared" si="16"/>
        <v>109001</v>
      </c>
      <c r="B1041" s="80">
        <v>109</v>
      </c>
      <c r="C1041" s="80" t="s">
        <v>259</v>
      </c>
      <c r="D1041" s="80">
        <v>1</v>
      </c>
      <c r="E1041" s="87">
        <v>2477</v>
      </c>
    </row>
    <row r="1042" spans="1:5" x14ac:dyDescent="0.2">
      <c r="A1042" s="83">
        <f t="shared" si="16"/>
        <v>109002</v>
      </c>
      <c r="B1042" s="80">
        <v>109</v>
      </c>
      <c r="C1042" s="80" t="s">
        <v>259</v>
      </c>
      <c r="D1042" s="80">
        <v>2</v>
      </c>
      <c r="E1042" s="87">
        <v>2477</v>
      </c>
    </row>
    <row r="1043" spans="1:5" x14ac:dyDescent="0.2">
      <c r="A1043" s="83">
        <f t="shared" si="16"/>
        <v>109003</v>
      </c>
      <c r="B1043" s="80">
        <v>109</v>
      </c>
      <c r="C1043" s="80" t="s">
        <v>259</v>
      </c>
      <c r="D1043" s="80">
        <v>3</v>
      </c>
      <c r="E1043" s="87">
        <v>2395</v>
      </c>
    </row>
    <row r="1044" spans="1:5" x14ac:dyDescent="0.2">
      <c r="A1044" s="83">
        <f t="shared" si="16"/>
        <v>109004</v>
      </c>
      <c r="B1044" s="80">
        <v>109</v>
      </c>
      <c r="C1044" s="80" t="s">
        <v>259</v>
      </c>
      <c r="D1044" s="80">
        <v>4</v>
      </c>
      <c r="E1044" s="87">
        <v>2477</v>
      </c>
    </row>
    <row r="1045" spans="1:5" x14ac:dyDescent="0.2">
      <c r="A1045" s="83">
        <f t="shared" si="16"/>
        <v>109005</v>
      </c>
      <c r="B1045" s="80">
        <v>109</v>
      </c>
      <c r="C1045" s="80" t="s">
        <v>259</v>
      </c>
      <c r="D1045" s="80">
        <v>5</v>
      </c>
      <c r="E1045" s="87">
        <v>2477</v>
      </c>
    </row>
    <row r="1046" spans="1:5" x14ac:dyDescent="0.2">
      <c r="A1046" s="83">
        <f t="shared" si="16"/>
        <v>109006</v>
      </c>
      <c r="B1046" s="80">
        <v>109</v>
      </c>
      <c r="C1046" s="80" t="s">
        <v>259</v>
      </c>
      <c r="D1046" s="80">
        <v>6</v>
      </c>
      <c r="E1046" s="87">
        <v>2725</v>
      </c>
    </row>
    <row r="1047" spans="1:5" x14ac:dyDescent="0.2">
      <c r="A1047" s="83">
        <f t="shared" si="16"/>
        <v>109007</v>
      </c>
      <c r="B1047" s="80">
        <v>109</v>
      </c>
      <c r="C1047" s="80" t="s">
        <v>259</v>
      </c>
      <c r="D1047" s="80">
        <v>7</v>
      </c>
      <c r="E1047" s="87">
        <v>2477</v>
      </c>
    </row>
    <row r="1048" spans="1:5" x14ac:dyDescent="0.2">
      <c r="A1048" s="83">
        <f t="shared" si="16"/>
        <v>109008</v>
      </c>
      <c r="B1048" s="80">
        <v>109</v>
      </c>
      <c r="C1048" s="80" t="s">
        <v>259</v>
      </c>
      <c r="D1048" s="80">
        <v>8</v>
      </c>
      <c r="E1048" s="87">
        <v>2477</v>
      </c>
    </row>
    <row r="1049" spans="1:5" x14ac:dyDescent="0.2">
      <c r="A1049" s="83">
        <f t="shared" si="16"/>
        <v>109009</v>
      </c>
      <c r="B1049" s="80">
        <v>109</v>
      </c>
      <c r="C1049" s="80" t="s">
        <v>259</v>
      </c>
      <c r="D1049" s="80">
        <v>9</v>
      </c>
      <c r="E1049" s="87">
        <v>2395</v>
      </c>
    </row>
    <row r="1050" spans="1:5" x14ac:dyDescent="0.2">
      <c r="A1050" s="83">
        <f t="shared" si="16"/>
        <v>109010</v>
      </c>
      <c r="B1050" s="80">
        <v>109</v>
      </c>
      <c r="C1050" s="80" t="s">
        <v>259</v>
      </c>
      <c r="D1050" s="80">
        <v>10</v>
      </c>
      <c r="E1050" s="87">
        <v>2477</v>
      </c>
    </row>
    <row r="1051" spans="1:5" x14ac:dyDescent="0.2">
      <c r="A1051" s="83">
        <f t="shared" si="16"/>
        <v>109011</v>
      </c>
      <c r="B1051" s="80">
        <v>109</v>
      </c>
      <c r="C1051" s="80" t="s">
        <v>259</v>
      </c>
      <c r="D1051" s="80">
        <v>11</v>
      </c>
      <c r="E1051" s="87">
        <v>2395</v>
      </c>
    </row>
    <row r="1052" spans="1:5" x14ac:dyDescent="0.2">
      <c r="A1052" s="83">
        <f t="shared" si="16"/>
        <v>109012</v>
      </c>
      <c r="B1052" s="80">
        <v>109</v>
      </c>
      <c r="C1052" s="80" t="s">
        <v>259</v>
      </c>
      <c r="D1052" s="80">
        <v>12</v>
      </c>
      <c r="E1052" s="87">
        <v>2395</v>
      </c>
    </row>
    <row r="1053" spans="1:5" x14ac:dyDescent="0.2">
      <c r="A1053" s="83">
        <f t="shared" si="16"/>
        <v>109013</v>
      </c>
      <c r="B1053" s="80">
        <v>109</v>
      </c>
      <c r="C1053" s="80" t="s">
        <v>259</v>
      </c>
      <c r="D1053" s="80">
        <v>13</v>
      </c>
      <c r="E1053" s="87">
        <v>2395</v>
      </c>
    </row>
    <row r="1054" spans="1:5" x14ac:dyDescent="0.2">
      <c r="A1054" s="83">
        <f t="shared" si="16"/>
        <v>111001</v>
      </c>
      <c r="B1054" s="80">
        <v>111</v>
      </c>
      <c r="C1054" s="80" t="s">
        <v>260</v>
      </c>
      <c r="D1054" s="80">
        <v>1</v>
      </c>
      <c r="E1054" s="87">
        <v>2036</v>
      </c>
    </row>
    <row r="1055" spans="1:5" x14ac:dyDescent="0.2">
      <c r="A1055" s="83">
        <f t="shared" si="16"/>
        <v>111002</v>
      </c>
      <c r="B1055" s="80">
        <v>111</v>
      </c>
      <c r="C1055" s="80" t="s">
        <v>260</v>
      </c>
      <c r="D1055" s="80">
        <v>2</v>
      </c>
      <c r="E1055" s="80">
        <v>415</v>
      </c>
    </row>
    <row r="1056" spans="1:5" x14ac:dyDescent="0.2">
      <c r="A1056" s="83">
        <f t="shared" si="16"/>
        <v>111003</v>
      </c>
      <c r="B1056" s="80">
        <v>111</v>
      </c>
      <c r="C1056" s="80" t="s">
        <v>260</v>
      </c>
      <c r="D1056" s="80">
        <v>3</v>
      </c>
      <c r="E1056" s="80">
        <v>679</v>
      </c>
    </row>
    <row r="1057" spans="1:6" x14ac:dyDescent="0.2">
      <c r="A1057" s="83">
        <f t="shared" si="16"/>
        <v>113005</v>
      </c>
      <c r="B1057" s="80">
        <v>113</v>
      </c>
      <c r="C1057" s="80" t="s">
        <v>261</v>
      </c>
      <c r="D1057" s="80">
        <v>5</v>
      </c>
      <c r="E1057" s="80">
        <v>839</v>
      </c>
    </row>
    <row r="1058" spans="1:6" x14ac:dyDescent="0.2">
      <c r="A1058" s="83">
        <f t="shared" si="16"/>
        <v>113006</v>
      </c>
      <c r="B1058" s="80">
        <v>113</v>
      </c>
      <c r="C1058" s="80" t="s">
        <v>261</v>
      </c>
      <c r="D1058" s="80">
        <v>6</v>
      </c>
      <c r="E1058" s="80">
        <v>839</v>
      </c>
    </row>
    <row r="1059" spans="1:6" x14ac:dyDescent="0.2">
      <c r="A1059" s="83">
        <f t="shared" si="16"/>
        <v>113007</v>
      </c>
      <c r="B1059" s="80">
        <v>113</v>
      </c>
      <c r="C1059" s="80" t="s">
        <v>261</v>
      </c>
      <c r="D1059" s="80">
        <v>7</v>
      </c>
      <c r="E1059" s="80">
        <v>839</v>
      </c>
    </row>
    <row r="1060" spans="1:6" x14ac:dyDescent="0.2">
      <c r="A1060" s="83">
        <f t="shared" si="16"/>
        <v>113008</v>
      </c>
      <c r="B1060" s="80">
        <v>113</v>
      </c>
      <c r="C1060" s="80" t="s">
        <v>261</v>
      </c>
      <c r="D1060" s="80">
        <v>8</v>
      </c>
      <c r="E1060" s="80">
        <v>984</v>
      </c>
    </row>
    <row r="1061" spans="1:6" x14ac:dyDescent="0.2">
      <c r="A1061" s="83">
        <f t="shared" si="16"/>
        <v>113010</v>
      </c>
      <c r="B1061" s="80">
        <v>113</v>
      </c>
      <c r="C1061" s="80" t="s">
        <v>261</v>
      </c>
      <c r="D1061" s="80">
        <v>10</v>
      </c>
      <c r="E1061" s="87">
        <v>1013</v>
      </c>
    </row>
    <row r="1062" spans="1:6" x14ac:dyDescent="0.2">
      <c r="A1062" s="83">
        <f t="shared" si="16"/>
        <v>114005</v>
      </c>
      <c r="B1062" s="80">
        <v>114</v>
      </c>
      <c r="C1062" s="80" t="s">
        <v>262</v>
      </c>
      <c r="D1062" s="80">
        <v>5</v>
      </c>
      <c r="E1062" s="87">
        <v>1828</v>
      </c>
    </row>
    <row r="1063" spans="1:6" x14ac:dyDescent="0.2">
      <c r="A1063" s="83">
        <f t="shared" si="16"/>
        <v>114007</v>
      </c>
      <c r="B1063" s="80">
        <v>114</v>
      </c>
      <c r="C1063" s="80" t="s">
        <v>262</v>
      </c>
      <c r="D1063" s="80">
        <v>7</v>
      </c>
      <c r="E1063" s="87">
        <v>1828</v>
      </c>
    </row>
    <row r="1064" spans="1:6" x14ac:dyDescent="0.2">
      <c r="A1064" s="83">
        <f t="shared" si="16"/>
        <v>115004</v>
      </c>
      <c r="B1064" s="80">
        <v>115</v>
      </c>
      <c r="C1064" s="80" t="s">
        <v>263</v>
      </c>
      <c r="D1064" s="80">
        <v>4</v>
      </c>
      <c r="E1064" s="87">
        <v>1828</v>
      </c>
    </row>
    <row r="1065" spans="1:6" x14ac:dyDescent="0.2">
      <c r="A1065" s="83">
        <f t="shared" si="16"/>
        <v>115005</v>
      </c>
      <c r="B1065" s="80">
        <v>115</v>
      </c>
      <c r="C1065" s="80" t="s">
        <v>263</v>
      </c>
      <c r="D1065" s="80">
        <v>5</v>
      </c>
      <c r="E1065" s="87">
        <v>1880</v>
      </c>
    </row>
    <row r="1066" spans="1:6" x14ac:dyDescent="0.2">
      <c r="A1066" s="83">
        <f t="shared" si="16"/>
        <v>116001</v>
      </c>
      <c r="B1066" s="80">
        <v>116</v>
      </c>
      <c r="C1066" s="80" t="s">
        <v>264</v>
      </c>
      <c r="D1066" s="80">
        <v>1</v>
      </c>
      <c r="E1066" s="87">
        <v>1813</v>
      </c>
    </row>
    <row r="1067" spans="1:6" x14ac:dyDescent="0.2">
      <c r="A1067" s="83">
        <f t="shared" si="16"/>
        <v>116002</v>
      </c>
      <c r="B1067" s="80">
        <v>116</v>
      </c>
      <c r="C1067" s="80" t="s">
        <v>264</v>
      </c>
      <c r="D1067" s="80">
        <v>2</v>
      </c>
      <c r="E1067" s="87">
        <v>1292</v>
      </c>
    </row>
    <row r="1068" spans="1:6" x14ac:dyDescent="0.2">
      <c r="A1068" s="83">
        <f t="shared" si="16"/>
        <v>116003</v>
      </c>
      <c r="B1068" s="80">
        <v>116</v>
      </c>
      <c r="C1068" s="80" t="s">
        <v>264</v>
      </c>
      <c r="D1068" s="80">
        <v>3</v>
      </c>
      <c r="E1068" s="87">
        <v>1292</v>
      </c>
    </row>
    <row r="1069" spans="1:6" x14ac:dyDescent="0.2">
      <c r="A1069" s="83">
        <f t="shared" si="16"/>
        <v>116004</v>
      </c>
      <c r="B1069" s="80">
        <v>116</v>
      </c>
      <c r="C1069" s="80" t="s">
        <v>264</v>
      </c>
      <c r="D1069" s="80">
        <v>4</v>
      </c>
      <c r="E1069" s="87">
        <v>1813</v>
      </c>
      <c r="F1069" s="1">
        <f>+E1069*0.15</f>
        <v>271.95</v>
      </c>
    </row>
    <row r="1070" spans="1:6" x14ac:dyDescent="0.2">
      <c r="A1070" s="83">
        <f t="shared" si="16"/>
        <v>116005</v>
      </c>
      <c r="B1070" s="80">
        <v>116</v>
      </c>
      <c r="C1070" s="80" t="s">
        <v>264</v>
      </c>
      <c r="D1070" s="80">
        <v>5</v>
      </c>
      <c r="E1070" s="87">
        <v>1813</v>
      </c>
    </row>
    <row r="1071" spans="1:6" x14ac:dyDescent="0.2">
      <c r="A1071" s="83">
        <f t="shared" si="16"/>
        <v>116006</v>
      </c>
      <c r="B1071" s="80">
        <v>116</v>
      </c>
      <c r="C1071" s="80" t="s">
        <v>264</v>
      </c>
      <c r="D1071" s="80">
        <v>6</v>
      </c>
      <c r="E1071" s="87">
        <v>1752</v>
      </c>
    </row>
    <row r="1072" spans="1:6" x14ac:dyDescent="0.2">
      <c r="A1072" s="83">
        <f t="shared" si="16"/>
        <v>116007</v>
      </c>
      <c r="B1072" s="80">
        <v>116</v>
      </c>
      <c r="C1072" s="80" t="s">
        <v>264</v>
      </c>
      <c r="D1072" s="80">
        <v>7</v>
      </c>
      <c r="E1072" s="87">
        <v>1813</v>
      </c>
    </row>
    <row r="1073" spans="1:5" x14ac:dyDescent="0.2">
      <c r="A1073" s="83">
        <f t="shared" si="16"/>
        <v>116008</v>
      </c>
      <c r="B1073" s="80">
        <v>116</v>
      </c>
      <c r="C1073" s="80" t="s">
        <v>264</v>
      </c>
      <c r="D1073" s="80">
        <v>8</v>
      </c>
      <c r="E1073" s="87">
        <v>1752</v>
      </c>
    </row>
    <row r="1074" spans="1:5" x14ac:dyDescent="0.2">
      <c r="A1074" s="83">
        <f t="shared" si="16"/>
        <v>116009</v>
      </c>
      <c r="B1074" s="80">
        <v>116</v>
      </c>
      <c r="C1074" s="80" t="s">
        <v>264</v>
      </c>
      <c r="D1074" s="80">
        <v>9</v>
      </c>
      <c r="E1074" s="87">
        <v>1813</v>
      </c>
    </row>
    <row r="1075" spans="1:5" x14ac:dyDescent="0.2">
      <c r="A1075" s="83">
        <f t="shared" si="16"/>
        <v>116010</v>
      </c>
      <c r="B1075" s="80">
        <v>116</v>
      </c>
      <c r="C1075" s="80" t="s">
        <v>264</v>
      </c>
      <c r="D1075" s="80">
        <v>10</v>
      </c>
      <c r="E1075" s="87">
        <v>1626</v>
      </c>
    </row>
    <row r="1076" spans="1:5" x14ac:dyDescent="0.2">
      <c r="A1076" s="83">
        <f t="shared" si="16"/>
        <v>118000</v>
      </c>
      <c r="B1076" s="80">
        <v>118</v>
      </c>
      <c r="C1076" s="80" t="s">
        <v>265</v>
      </c>
      <c r="D1076" s="80">
        <v>0</v>
      </c>
      <c r="E1076" s="80">
        <v>875</v>
      </c>
    </row>
    <row r="1077" spans="1:5" x14ac:dyDescent="0.2">
      <c r="A1077" s="83">
        <f t="shared" si="16"/>
        <v>118004</v>
      </c>
      <c r="B1077" s="80">
        <v>118</v>
      </c>
      <c r="C1077" s="80" t="s">
        <v>265</v>
      </c>
      <c r="D1077" s="80">
        <v>4</v>
      </c>
      <c r="E1077" s="87">
        <v>4456</v>
      </c>
    </row>
    <row r="1078" spans="1:5" x14ac:dyDescent="0.2">
      <c r="A1078" s="83">
        <f t="shared" si="16"/>
        <v>118009</v>
      </c>
      <c r="B1078" s="80">
        <v>118</v>
      </c>
      <c r="C1078" s="80" t="s">
        <v>265</v>
      </c>
      <c r="D1078" s="80">
        <v>9</v>
      </c>
      <c r="E1078" s="87">
        <v>4456</v>
      </c>
    </row>
    <row r="1079" spans="1:5" x14ac:dyDescent="0.2">
      <c r="A1079" s="83">
        <f t="shared" si="16"/>
        <v>118010</v>
      </c>
      <c r="B1079" s="80">
        <v>118</v>
      </c>
      <c r="C1079" s="80" t="s">
        <v>265</v>
      </c>
      <c r="D1079" s="80">
        <v>10</v>
      </c>
      <c r="E1079" s="87">
        <v>4456</v>
      </c>
    </row>
    <row r="1080" spans="1:5" x14ac:dyDescent="0.2">
      <c r="A1080" s="83">
        <f t="shared" si="16"/>
        <v>118011</v>
      </c>
      <c r="B1080" s="80">
        <v>118</v>
      </c>
      <c r="C1080" s="80" t="s">
        <v>265</v>
      </c>
      <c r="D1080" s="80">
        <v>11</v>
      </c>
      <c r="E1080" s="87">
        <v>4456</v>
      </c>
    </row>
    <row r="1081" spans="1:5" x14ac:dyDescent="0.2">
      <c r="A1081" s="83">
        <f t="shared" si="16"/>
        <v>118012</v>
      </c>
      <c r="B1081" s="80">
        <v>118</v>
      </c>
      <c r="C1081" s="80" t="s">
        <v>265</v>
      </c>
      <c r="D1081" s="80">
        <v>12</v>
      </c>
      <c r="E1081" s="87">
        <v>4456</v>
      </c>
    </row>
    <row r="1082" spans="1:5" x14ac:dyDescent="0.2">
      <c r="A1082" s="83">
        <f t="shared" si="16"/>
        <v>119004</v>
      </c>
      <c r="B1082" s="80">
        <v>119</v>
      </c>
      <c r="C1082" s="80" t="s">
        <v>266</v>
      </c>
      <c r="D1082" s="80">
        <v>4</v>
      </c>
      <c r="E1082" s="87">
        <v>2251</v>
      </c>
    </row>
    <row r="1083" spans="1:5" x14ac:dyDescent="0.2">
      <c r="A1083" s="83">
        <f t="shared" si="16"/>
        <v>119005</v>
      </c>
      <c r="B1083" s="80">
        <v>119</v>
      </c>
      <c r="C1083" s="80" t="s">
        <v>266</v>
      </c>
      <c r="D1083" s="80">
        <v>5</v>
      </c>
      <c r="E1083" s="87">
        <v>2126</v>
      </c>
    </row>
    <row r="1084" spans="1:5" x14ac:dyDescent="0.2">
      <c r="A1084" s="83">
        <f t="shared" si="16"/>
        <v>119006</v>
      </c>
      <c r="B1084" s="80">
        <v>119</v>
      </c>
      <c r="C1084" s="80" t="s">
        <v>266</v>
      </c>
      <c r="D1084" s="80">
        <v>6</v>
      </c>
      <c r="E1084" s="87">
        <v>2126</v>
      </c>
    </row>
    <row r="1085" spans="1:5" x14ac:dyDescent="0.2">
      <c r="A1085" s="83">
        <f t="shared" si="16"/>
        <v>119008</v>
      </c>
      <c r="B1085" s="80">
        <v>119</v>
      </c>
      <c r="C1085" s="80" t="s">
        <v>266</v>
      </c>
      <c r="D1085" s="80">
        <v>8</v>
      </c>
      <c r="E1085" s="87">
        <v>2063</v>
      </c>
    </row>
    <row r="1086" spans="1:5" x14ac:dyDescent="0.2">
      <c r="A1086" s="83">
        <f t="shared" si="16"/>
        <v>119009</v>
      </c>
      <c r="B1086" s="80">
        <v>119</v>
      </c>
      <c r="C1086" s="80" t="s">
        <v>266</v>
      </c>
      <c r="D1086" s="80">
        <v>9</v>
      </c>
      <c r="E1086" s="87">
        <v>2063</v>
      </c>
    </row>
    <row r="1087" spans="1:5" x14ac:dyDescent="0.2">
      <c r="A1087" s="83">
        <f t="shared" si="16"/>
        <v>119010</v>
      </c>
      <c r="B1087" s="80">
        <v>119</v>
      </c>
      <c r="C1087" s="80" t="s">
        <v>266</v>
      </c>
      <c r="D1087" s="80">
        <v>10</v>
      </c>
      <c r="E1087" s="87">
        <v>2126</v>
      </c>
    </row>
    <row r="1088" spans="1:5" x14ac:dyDescent="0.2">
      <c r="A1088" s="83">
        <f t="shared" si="16"/>
        <v>119011</v>
      </c>
      <c r="B1088" s="80">
        <v>119</v>
      </c>
      <c r="C1088" s="80" t="s">
        <v>266</v>
      </c>
      <c r="D1088" s="80">
        <v>11</v>
      </c>
      <c r="E1088" s="87">
        <v>2126</v>
      </c>
    </row>
    <row r="1089" spans="1:5" x14ac:dyDescent="0.2">
      <c r="A1089" s="83">
        <f t="shared" si="16"/>
        <v>119014</v>
      </c>
      <c r="B1089" s="80">
        <v>119</v>
      </c>
      <c r="C1089" s="80" t="s">
        <v>266</v>
      </c>
      <c r="D1089" s="80">
        <v>14</v>
      </c>
      <c r="E1089" s="87">
        <v>2126</v>
      </c>
    </row>
    <row r="1090" spans="1:5" x14ac:dyDescent="0.2">
      <c r="A1090" s="83">
        <f t="shared" si="16"/>
        <v>120004</v>
      </c>
      <c r="B1090" s="80">
        <v>120</v>
      </c>
      <c r="C1090" s="80" t="s">
        <v>267</v>
      </c>
      <c r="D1090" s="80">
        <v>4</v>
      </c>
      <c r="E1090" s="87">
        <v>8847</v>
      </c>
    </row>
    <row r="1091" spans="1:5" x14ac:dyDescent="0.2">
      <c r="A1091" s="83">
        <f t="shared" ref="A1091:A1145" si="17">+B1091*1000+D1091</f>
        <v>120005</v>
      </c>
      <c r="B1091" s="80">
        <v>120</v>
      </c>
      <c r="C1091" s="80" t="s">
        <v>267</v>
      </c>
      <c r="D1091" s="80">
        <v>5</v>
      </c>
      <c r="E1091" s="87">
        <v>9732</v>
      </c>
    </row>
    <row r="1092" spans="1:5" x14ac:dyDescent="0.2">
      <c r="A1092" s="83">
        <f t="shared" si="17"/>
        <v>120006</v>
      </c>
      <c r="B1092" s="80">
        <v>120</v>
      </c>
      <c r="C1092" s="80" t="s">
        <v>267</v>
      </c>
      <c r="D1092" s="80">
        <v>6</v>
      </c>
      <c r="E1092" s="87">
        <v>8847</v>
      </c>
    </row>
    <row r="1093" spans="1:5" x14ac:dyDescent="0.2">
      <c r="A1093" s="83">
        <f t="shared" si="17"/>
        <v>120007</v>
      </c>
      <c r="B1093" s="80">
        <v>120</v>
      </c>
      <c r="C1093" s="80" t="s">
        <v>267</v>
      </c>
      <c r="D1093" s="80">
        <v>7</v>
      </c>
      <c r="E1093" s="87">
        <v>8847</v>
      </c>
    </row>
    <row r="1094" spans="1:5" x14ac:dyDescent="0.2">
      <c r="A1094" s="83">
        <f t="shared" si="17"/>
        <v>121011</v>
      </c>
      <c r="B1094" s="80">
        <v>121</v>
      </c>
      <c r="C1094" s="80" t="s">
        <v>268</v>
      </c>
      <c r="D1094" s="80">
        <v>11</v>
      </c>
      <c r="E1094" s="87">
        <v>4320</v>
      </c>
    </row>
    <row r="1095" spans="1:5" x14ac:dyDescent="0.2">
      <c r="A1095" s="83">
        <f t="shared" si="17"/>
        <v>121012</v>
      </c>
      <c r="B1095" s="80">
        <v>121</v>
      </c>
      <c r="C1095" s="80" t="s">
        <v>268</v>
      </c>
      <c r="D1095" s="80">
        <v>12</v>
      </c>
      <c r="E1095" s="87">
        <v>4320</v>
      </c>
    </row>
    <row r="1096" spans="1:5" x14ac:dyDescent="0.2">
      <c r="A1096" s="83">
        <f t="shared" si="17"/>
        <v>121013</v>
      </c>
      <c r="B1096" s="80">
        <v>121</v>
      </c>
      <c r="C1096" s="80" t="s">
        <v>268</v>
      </c>
      <c r="D1096" s="80">
        <v>13</v>
      </c>
      <c r="E1096" s="87">
        <v>4320</v>
      </c>
    </row>
    <row r="1097" spans="1:5" x14ac:dyDescent="0.2">
      <c r="A1097" s="83">
        <f t="shared" si="17"/>
        <v>121014</v>
      </c>
      <c r="B1097" s="80">
        <v>121</v>
      </c>
      <c r="C1097" s="80" t="s">
        <v>268</v>
      </c>
      <c r="D1097" s="80">
        <v>14</v>
      </c>
      <c r="E1097" s="87">
        <v>4320</v>
      </c>
    </row>
    <row r="1098" spans="1:5" x14ac:dyDescent="0.2">
      <c r="A1098" s="83">
        <f t="shared" si="17"/>
        <v>121015</v>
      </c>
      <c r="B1098" s="80">
        <v>121</v>
      </c>
      <c r="C1098" s="80" t="s">
        <v>268</v>
      </c>
      <c r="D1098" s="80">
        <v>15</v>
      </c>
      <c r="E1098" s="87">
        <v>4320</v>
      </c>
    </row>
    <row r="1099" spans="1:5" x14ac:dyDescent="0.2">
      <c r="A1099" s="83">
        <f t="shared" si="17"/>
        <v>121016</v>
      </c>
      <c r="B1099" s="80">
        <v>121</v>
      </c>
      <c r="C1099" s="80" t="s">
        <v>268</v>
      </c>
      <c r="D1099" s="80">
        <v>16</v>
      </c>
      <c r="E1099" s="87">
        <v>4320</v>
      </c>
    </row>
    <row r="1100" spans="1:5" x14ac:dyDescent="0.2">
      <c r="A1100" s="83">
        <f t="shared" si="17"/>
        <v>122002</v>
      </c>
      <c r="B1100" s="80">
        <v>122</v>
      </c>
      <c r="C1100" s="80" t="s">
        <v>269</v>
      </c>
      <c r="D1100" s="80">
        <v>2</v>
      </c>
      <c r="E1100" s="87">
        <v>1489</v>
      </c>
    </row>
    <row r="1101" spans="1:5" x14ac:dyDescent="0.2">
      <c r="A1101" s="83">
        <f t="shared" si="17"/>
        <v>122003</v>
      </c>
      <c r="B1101" s="80">
        <v>122</v>
      </c>
      <c r="C1101" s="80" t="s">
        <v>269</v>
      </c>
      <c r="D1101" s="80">
        <v>3</v>
      </c>
      <c r="E1101" s="87">
        <v>1489</v>
      </c>
    </row>
    <row r="1102" spans="1:5" x14ac:dyDescent="0.2">
      <c r="A1102" s="83">
        <f t="shared" si="17"/>
        <v>123004</v>
      </c>
      <c r="B1102" s="80">
        <v>123</v>
      </c>
      <c r="C1102" s="80" t="s">
        <v>270</v>
      </c>
      <c r="D1102" s="80">
        <v>4</v>
      </c>
      <c r="E1102" s="87">
        <v>1489</v>
      </c>
    </row>
    <row r="1103" spans="1:5" x14ac:dyDescent="0.2">
      <c r="A1103" s="83">
        <f t="shared" si="17"/>
        <v>123009</v>
      </c>
      <c r="B1103" s="80">
        <v>123</v>
      </c>
      <c r="C1103" s="80" t="s">
        <v>270</v>
      </c>
      <c r="D1103" s="80">
        <v>9</v>
      </c>
      <c r="E1103" s="87">
        <v>1025</v>
      </c>
    </row>
    <row r="1104" spans="1:5" x14ac:dyDescent="0.2">
      <c r="A1104" s="83">
        <f t="shared" si="17"/>
        <v>124004</v>
      </c>
      <c r="B1104" s="80">
        <v>124</v>
      </c>
      <c r="C1104" s="80" t="s">
        <v>271</v>
      </c>
      <c r="D1104" s="80">
        <v>4</v>
      </c>
      <c r="E1104" s="87">
        <v>1025</v>
      </c>
    </row>
    <row r="1105" spans="1:5" x14ac:dyDescent="0.2">
      <c r="A1105" s="83">
        <f t="shared" si="17"/>
        <v>125004</v>
      </c>
      <c r="B1105" s="80">
        <v>125</v>
      </c>
      <c r="C1105" s="80" t="s">
        <v>272</v>
      </c>
      <c r="D1105" s="80">
        <v>4</v>
      </c>
      <c r="E1105" s="87">
        <v>1816</v>
      </c>
    </row>
    <row r="1106" spans="1:5" x14ac:dyDescent="0.2">
      <c r="A1106" s="83">
        <f t="shared" si="17"/>
        <v>125006</v>
      </c>
      <c r="B1106" s="80">
        <v>125</v>
      </c>
      <c r="C1106" s="80" t="s">
        <v>272</v>
      </c>
      <c r="D1106" s="80">
        <v>6</v>
      </c>
      <c r="E1106" s="87">
        <v>1816</v>
      </c>
    </row>
    <row r="1107" spans="1:5" x14ac:dyDescent="0.2">
      <c r="A1107" s="83">
        <f t="shared" si="17"/>
        <v>126002</v>
      </c>
      <c r="B1107" s="80">
        <v>126</v>
      </c>
      <c r="C1107" s="80" t="s">
        <v>273</v>
      </c>
      <c r="D1107" s="80">
        <v>2</v>
      </c>
      <c r="E1107" s="87">
        <v>1505</v>
      </c>
    </row>
    <row r="1108" spans="1:5" x14ac:dyDescent="0.2">
      <c r="A1108" s="83">
        <f t="shared" si="17"/>
        <v>126003</v>
      </c>
      <c r="B1108" s="80">
        <v>126</v>
      </c>
      <c r="C1108" s="80" t="s">
        <v>273</v>
      </c>
      <c r="D1108" s="80">
        <v>3</v>
      </c>
      <c r="E1108" s="87">
        <v>1505</v>
      </c>
    </row>
    <row r="1109" spans="1:5" x14ac:dyDescent="0.2">
      <c r="A1109" s="83">
        <f t="shared" si="17"/>
        <v>126007</v>
      </c>
      <c r="B1109" s="80">
        <v>126</v>
      </c>
      <c r="C1109" s="80" t="s">
        <v>273</v>
      </c>
      <c r="D1109" s="80">
        <v>7</v>
      </c>
      <c r="E1109" s="87">
        <v>1505</v>
      </c>
    </row>
    <row r="1110" spans="1:5" x14ac:dyDescent="0.2">
      <c r="A1110" s="83">
        <f t="shared" si="17"/>
        <v>127002</v>
      </c>
      <c r="B1110" s="80">
        <v>127</v>
      </c>
      <c r="C1110" s="80" t="s">
        <v>274</v>
      </c>
      <c r="D1110" s="80">
        <v>2</v>
      </c>
      <c r="E1110" s="87">
        <v>1605</v>
      </c>
    </row>
    <row r="1111" spans="1:5" x14ac:dyDescent="0.2">
      <c r="A1111" s="83">
        <f t="shared" si="17"/>
        <v>127003</v>
      </c>
      <c r="B1111" s="80">
        <v>127</v>
      </c>
      <c r="C1111" s="80" t="s">
        <v>274</v>
      </c>
      <c r="D1111" s="80">
        <v>3</v>
      </c>
      <c r="E1111" s="87">
        <v>1605</v>
      </c>
    </row>
    <row r="1112" spans="1:5" x14ac:dyDescent="0.2">
      <c r="A1112" s="83">
        <f t="shared" si="17"/>
        <v>128005</v>
      </c>
      <c r="B1112" s="80">
        <v>128</v>
      </c>
      <c r="C1112" s="80" t="s">
        <v>275</v>
      </c>
      <c r="D1112" s="80">
        <v>5</v>
      </c>
      <c r="E1112" s="87">
        <v>2127</v>
      </c>
    </row>
    <row r="1113" spans="1:5" x14ac:dyDescent="0.2">
      <c r="A1113" s="83">
        <f t="shared" si="17"/>
        <v>128012</v>
      </c>
      <c r="B1113" s="80">
        <v>128</v>
      </c>
      <c r="C1113" s="80" t="s">
        <v>275</v>
      </c>
      <c r="D1113" s="80">
        <v>12</v>
      </c>
      <c r="E1113" s="87">
        <v>2494</v>
      </c>
    </row>
    <row r="1114" spans="1:5" x14ac:dyDescent="0.2">
      <c r="A1114" s="83">
        <f t="shared" si="17"/>
        <v>129002</v>
      </c>
      <c r="B1114" s="80">
        <v>129</v>
      </c>
      <c r="C1114" s="80" t="s">
        <v>276</v>
      </c>
      <c r="D1114" s="80">
        <v>2</v>
      </c>
      <c r="E1114" s="87">
        <v>1932</v>
      </c>
    </row>
    <row r="1115" spans="1:5" x14ac:dyDescent="0.2">
      <c r="A1115" s="83">
        <f t="shared" si="17"/>
        <v>129003</v>
      </c>
      <c r="B1115" s="80">
        <v>129</v>
      </c>
      <c r="C1115" s="80" t="s">
        <v>276</v>
      </c>
      <c r="D1115" s="80">
        <v>3</v>
      </c>
      <c r="E1115" s="87">
        <v>1999</v>
      </c>
    </row>
    <row r="1116" spans="1:5" x14ac:dyDescent="0.2">
      <c r="A1116" s="83">
        <f t="shared" si="17"/>
        <v>129005</v>
      </c>
      <c r="B1116" s="80">
        <v>129</v>
      </c>
      <c r="C1116" s="80" t="s">
        <v>276</v>
      </c>
      <c r="D1116" s="80">
        <v>5</v>
      </c>
      <c r="E1116" s="87">
        <v>1999</v>
      </c>
    </row>
    <row r="1117" spans="1:5" x14ac:dyDescent="0.2">
      <c r="A1117" s="83">
        <f t="shared" si="17"/>
        <v>129007</v>
      </c>
      <c r="B1117" s="80">
        <v>129</v>
      </c>
      <c r="C1117" s="80" t="s">
        <v>276</v>
      </c>
      <c r="D1117" s="80">
        <v>7</v>
      </c>
      <c r="E1117" s="87">
        <v>1932</v>
      </c>
    </row>
    <row r="1118" spans="1:5" x14ac:dyDescent="0.2">
      <c r="A1118" s="83">
        <f t="shared" si="17"/>
        <v>129008</v>
      </c>
      <c r="B1118" s="80">
        <v>129</v>
      </c>
      <c r="C1118" s="80" t="s">
        <v>276</v>
      </c>
      <c r="D1118" s="80">
        <v>8</v>
      </c>
      <c r="E1118" s="87">
        <v>1932</v>
      </c>
    </row>
    <row r="1119" spans="1:5" x14ac:dyDescent="0.2">
      <c r="A1119" s="83">
        <f t="shared" si="17"/>
        <v>130002</v>
      </c>
      <c r="B1119" s="80">
        <v>130</v>
      </c>
      <c r="C1119" s="80" t="s">
        <v>277</v>
      </c>
      <c r="D1119" s="80">
        <v>2</v>
      </c>
      <c r="E1119" s="87">
        <v>7231</v>
      </c>
    </row>
    <row r="1120" spans="1:5" x14ac:dyDescent="0.2">
      <c r="A1120" s="83">
        <f t="shared" si="17"/>
        <v>130003</v>
      </c>
      <c r="B1120" s="80">
        <v>130</v>
      </c>
      <c r="C1120" s="80" t="s">
        <v>277</v>
      </c>
      <c r="D1120" s="80">
        <v>3</v>
      </c>
      <c r="E1120" s="87">
        <v>7231</v>
      </c>
    </row>
    <row r="1121" spans="1:5" x14ac:dyDescent="0.2">
      <c r="A1121" s="83">
        <f t="shared" si="17"/>
        <v>130004</v>
      </c>
      <c r="B1121" s="80">
        <v>130</v>
      </c>
      <c r="C1121" s="80" t="s">
        <v>277</v>
      </c>
      <c r="D1121" s="80">
        <v>4</v>
      </c>
      <c r="E1121" s="87">
        <v>7231</v>
      </c>
    </row>
    <row r="1122" spans="1:5" x14ac:dyDescent="0.2">
      <c r="A1122" s="83">
        <f t="shared" si="17"/>
        <v>130005</v>
      </c>
      <c r="B1122" s="80">
        <v>130</v>
      </c>
      <c r="C1122" s="80" t="s">
        <v>277</v>
      </c>
      <c r="D1122" s="80">
        <v>5</v>
      </c>
      <c r="E1122" s="87">
        <v>7231</v>
      </c>
    </row>
    <row r="1123" spans="1:5" x14ac:dyDescent="0.2">
      <c r="A1123" s="83">
        <f t="shared" si="17"/>
        <v>130006</v>
      </c>
      <c r="B1123" s="80">
        <v>130</v>
      </c>
      <c r="C1123" s="80" t="s">
        <v>277</v>
      </c>
      <c r="D1123" s="80">
        <v>6</v>
      </c>
      <c r="E1123" s="87">
        <v>7231</v>
      </c>
    </row>
    <row r="1124" spans="1:5" x14ac:dyDescent="0.2">
      <c r="A1124" s="83">
        <f t="shared" si="17"/>
        <v>131001</v>
      </c>
      <c r="B1124" s="80">
        <v>131</v>
      </c>
      <c r="C1124" s="80" t="s">
        <v>278</v>
      </c>
      <c r="D1124" s="80">
        <v>1</v>
      </c>
      <c r="E1124" s="87">
        <v>8993</v>
      </c>
    </row>
    <row r="1125" spans="1:5" x14ac:dyDescent="0.2">
      <c r="A1125" s="83">
        <f t="shared" si="17"/>
        <v>131002</v>
      </c>
      <c r="B1125" s="80">
        <v>131</v>
      </c>
      <c r="C1125" s="80" t="s">
        <v>278</v>
      </c>
      <c r="D1125" s="80">
        <v>2</v>
      </c>
      <c r="E1125" s="87">
        <v>8993</v>
      </c>
    </row>
    <row r="1126" spans="1:5" x14ac:dyDescent="0.2">
      <c r="A1126" s="83">
        <f t="shared" si="17"/>
        <v>131005</v>
      </c>
      <c r="B1126" s="80">
        <v>131</v>
      </c>
      <c r="C1126" s="80" t="s">
        <v>278</v>
      </c>
      <c r="D1126" s="80">
        <v>5</v>
      </c>
      <c r="E1126" s="87">
        <v>8993</v>
      </c>
    </row>
    <row r="1127" spans="1:5" x14ac:dyDescent="0.2">
      <c r="A1127" s="83">
        <f t="shared" si="17"/>
        <v>132001</v>
      </c>
      <c r="B1127" s="80">
        <v>132</v>
      </c>
      <c r="C1127" s="80" t="s">
        <v>279</v>
      </c>
      <c r="D1127" s="80">
        <v>1</v>
      </c>
      <c r="E1127" s="87">
        <v>8993</v>
      </c>
    </row>
    <row r="1128" spans="1:5" x14ac:dyDescent="0.2">
      <c r="A1128" s="83">
        <f t="shared" si="17"/>
        <v>132002</v>
      </c>
      <c r="B1128" s="80">
        <v>132</v>
      </c>
      <c r="C1128" s="80" t="s">
        <v>279</v>
      </c>
      <c r="D1128" s="80">
        <v>2</v>
      </c>
      <c r="E1128" s="87">
        <v>8993</v>
      </c>
    </row>
    <row r="1129" spans="1:5" x14ac:dyDescent="0.2">
      <c r="A1129" s="83">
        <f t="shared" si="17"/>
        <v>132003</v>
      </c>
      <c r="B1129" s="80">
        <v>132</v>
      </c>
      <c r="C1129" s="80" t="s">
        <v>279</v>
      </c>
      <c r="D1129" s="80">
        <v>3</v>
      </c>
      <c r="E1129" s="87">
        <v>8993</v>
      </c>
    </row>
    <row r="1130" spans="1:5" x14ac:dyDescent="0.2">
      <c r="A1130" s="83">
        <f t="shared" si="17"/>
        <v>132004</v>
      </c>
      <c r="B1130" s="80">
        <v>132</v>
      </c>
      <c r="C1130" s="80" t="s">
        <v>279</v>
      </c>
      <c r="D1130" s="80">
        <v>4</v>
      </c>
      <c r="E1130" s="87">
        <v>8993</v>
      </c>
    </row>
    <row r="1131" spans="1:5" x14ac:dyDescent="0.2">
      <c r="A1131" s="83">
        <f t="shared" si="17"/>
        <v>133004</v>
      </c>
      <c r="B1131" s="80">
        <v>133</v>
      </c>
      <c r="C1131" s="80" t="s">
        <v>280</v>
      </c>
      <c r="D1131" s="80">
        <v>4</v>
      </c>
      <c r="E1131" s="87">
        <v>8993</v>
      </c>
    </row>
    <row r="1132" spans="1:5" x14ac:dyDescent="0.2">
      <c r="A1132" s="83">
        <f t="shared" si="17"/>
        <v>133005</v>
      </c>
      <c r="B1132" s="80">
        <v>133</v>
      </c>
      <c r="C1132" s="80" t="s">
        <v>280</v>
      </c>
      <c r="D1132" s="80">
        <v>5</v>
      </c>
      <c r="E1132" s="87">
        <v>8993</v>
      </c>
    </row>
    <row r="1133" spans="1:5" x14ac:dyDescent="0.2">
      <c r="A1133" s="83">
        <f t="shared" si="17"/>
        <v>133009</v>
      </c>
      <c r="B1133" s="80">
        <v>133</v>
      </c>
      <c r="C1133" s="80" t="s">
        <v>280</v>
      </c>
      <c r="D1133" s="80">
        <v>9</v>
      </c>
      <c r="E1133" s="87">
        <v>8993</v>
      </c>
    </row>
    <row r="1134" spans="1:5" x14ac:dyDescent="0.2">
      <c r="A1134" s="83">
        <f t="shared" si="17"/>
        <v>134002</v>
      </c>
      <c r="B1134" s="80">
        <v>134</v>
      </c>
      <c r="C1134" s="80" t="s">
        <v>281</v>
      </c>
      <c r="D1134" s="80">
        <v>2</v>
      </c>
      <c r="E1134" s="87">
        <v>1764</v>
      </c>
    </row>
    <row r="1135" spans="1:5" x14ac:dyDescent="0.2">
      <c r="A1135" s="83">
        <f t="shared" si="17"/>
        <v>134003</v>
      </c>
      <c r="B1135" s="80">
        <v>134</v>
      </c>
      <c r="C1135" s="80" t="s">
        <v>281</v>
      </c>
      <c r="D1135" s="80">
        <v>3</v>
      </c>
      <c r="E1135" s="87">
        <v>1704</v>
      </c>
    </row>
    <row r="1136" spans="1:5" x14ac:dyDescent="0.2">
      <c r="A1136" s="83">
        <f t="shared" si="17"/>
        <v>134005</v>
      </c>
      <c r="B1136" s="80">
        <v>134</v>
      </c>
      <c r="C1136" s="80" t="s">
        <v>281</v>
      </c>
      <c r="D1136" s="80">
        <v>5</v>
      </c>
      <c r="E1136" s="87">
        <v>1704</v>
      </c>
    </row>
    <row r="1137" spans="1:5" x14ac:dyDescent="0.2">
      <c r="A1137" s="83">
        <f t="shared" si="17"/>
        <v>309000</v>
      </c>
      <c r="B1137" s="80">
        <v>309</v>
      </c>
      <c r="C1137" s="80" t="s">
        <v>282</v>
      </c>
      <c r="D1137" s="80">
        <v>0</v>
      </c>
      <c r="E1137" s="80">
        <v>400</v>
      </c>
    </row>
    <row r="1138" spans="1:5" x14ac:dyDescent="0.2">
      <c r="A1138" s="83">
        <f t="shared" si="17"/>
        <v>314000</v>
      </c>
      <c r="B1138" s="80">
        <v>314</v>
      </c>
      <c r="C1138" s="80" t="s">
        <v>283</v>
      </c>
      <c r="D1138" s="80">
        <v>0</v>
      </c>
      <c r="E1138" s="80">
        <v>520</v>
      </c>
    </row>
    <row r="1139" spans="1:5" x14ac:dyDescent="0.2">
      <c r="A1139" s="83">
        <f t="shared" si="17"/>
        <v>338000</v>
      </c>
      <c r="B1139" s="80">
        <v>338</v>
      </c>
      <c r="C1139" s="80" t="s">
        <v>284</v>
      </c>
      <c r="D1139" s="80">
        <v>0</v>
      </c>
      <c r="E1139" s="80">
        <v>509</v>
      </c>
    </row>
    <row r="1140" spans="1:5" x14ac:dyDescent="0.2">
      <c r="A1140" s="83">
        <f t="shared" si="17"/>
        <v>357000</v>
      </c>
      <c r="B1140" s="80">
        <v>357</v>
      </c>
      <c r="C1140" s="80" t="s">
        <v>285</v>
      </c>
      <c r="D1140" s="80">
        <v>0</v>
      </c>
      <c r="E1140" s="80">
        <v>700</v>
      </c>
    </row>
    <row r="1141" spans="1:5" x14ac:dyDescent="0.2">
      <c r="A1141" s="83">
        <f t="shared" si="17"/>
        <v>387000</v>
      </c>
      <c r="B1141" s="80">
        <v>387</v>
      </c>
      <c r="C1141" s="80" t="s">
        <v>286</v>
      </c>
      <c r="D1141" s="80">
        <v>0</v>
      </c>
      <c r="E1141" s="80">
        <v>400</v>
      </c>
    </row>
    <row r="1142" spans="1:5" x14ac:dyDescent="0.2">
      <c r="A1142" s="83">
        <f t="shared" si="17"/>
        <v>396000</v>
      </c>
      <c r="B1142" s="80">
        <v>396</v>
      </c>
      <c r="C1142" s="80" t="s">
        <v>287</v>
      </c>
      <c r="D1142" s="80">
        <v>0</v>
      </c>
      <c r="E1142" s="80">
        <v>745</v>
      </c>
    </row>
    <row r="1143" spans="1:5" x14ac:dyDescent="0.2">
      <c r="A1143" s="83">
        <f t="shared" si="17"/>
        <v>398000</v>
      </c>
      <c r="B1143" s="80">
        <v>398</v>
      </c>
      <c r="C1143" s="80" t="s">
        <v>288</v>
      </c>
      <c r="D1143" s="80">
        <v>0</v>
      </c>
      <c r="E1143" s="80">
        <v>400</v>
      </c>
    </row>
    <row r="1144" spans="1:5" x14ac:dyDescent="0.2">
      <c r="A1144" s="83">
        <f t="shared" si="17"/>
        <v>399000</v>
      </c>
      <c r="B1144" s="80">
        <v>399</v>
      </c>
      <c r="C1144" s="80" t="s">
        <v>289</v>
      </c>
      <c r="D1144" s="80">
        <v>0</v>
      </c>
      <c r="E1144" s="80">
        <v>400</v>
      </c>
    </row>
    <row r="1145" spans="1:5" x14ac:dyDescent="0.2">
      <c r="A1145" s="83">
        <f t="shared" si="17"/>
        <v>0</v>
      </c>
      <c r="E1145" s="80" t="s">
        <v>290</v>
      </c>
    </row>
  </sheetData>
  <phoneticPr fontId="0" type="noConversion"/>
  <pageMargins left="0.94513888888888897" right="0.75" top="0.62986111111111109" bottom="1" header="0.3298611111111111" footer="0.51181102362204722"/>
  <pageSetup firstPageNumber="0" orientation="portrait" horizontalDpi="300" verticalDpi="300"/>
  <headerFooter alignWithMargins="0">
    <oddHeader>&amp;C&amp;"Arial,Negrita"&amp;12LEY 13.003 ANEXO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A958-2493-4977-A7F6-FB52D61ED77D}">
  <sheetPr codeName="Hoja22"/>
  <dimension ref="A1:AP409"/>
  <sheetViews>
    <sheetView showGridLines="0" topLeftCell="A28" zoomScale="75" zoomScaleNormal="75" workbookViewId="0">
      <selection activeCell="H12" sqref="H12"/>
    </sheetView>
  </sheetViews>
  <sheetFormatPr baseColWidth="10" defaultColWidth="9.140625" defaultRowHeight="12.75" x14ac:dyDescent="0.2"/>
  <cols>
    <col min="1" max="1" width="3.7109375" style="1" customWidth="1"/>
    <col min="2" max="2" width="6.7109375" style="1" customWidth="1"/>
    <col min="3" max="3" width="9.7109375" style="1" customWidth="1"/>
    <col min="4" max="4" width="8" style="1" customWidth="1"/>
    <col min="5" max="5" width="13" style="1" customWidth="1"/>
    <col min="6" max="6" width="4.28515625" style="1" customWidth="1"/>
    <col min="7" max="7" width="6.5703125" style="1" customWidth="1"/>
    <col min="8" max="8" width="9.7109375" style="1" customWidth="1"/>
    <col min="9" max="9" width="7.7109375" style="1" customWidth="1"/>
    <col min="10" max="10" width="4.28515625" style="1" customWidth="1"/>
    <col min="11" max="11" width="7.7109375" style="1" customWidth="1"/>
    <col min="12" max="12" width="4.28515625" style="1" customWidth="1"/>
    <col min="13" max="13" width="7.7109375" style="1" customWidth="1"/>
    <col min="14" max="14" width="4.28515625" style="1" customWidth="1"/>
    <col min="15" max="15" width="7.7109375" style="1" customWidth="1"/>
    <col min="16" max="16" width="4.28515625" style="1" customWidth="1"/>
    <col min="17" max="17" width="7.7109375" style="1" customWidth="1"/>
    <col min="18" max="18" width="4.28515625" style="1" customWidth="1"/>
    <col min="19" max="19" width="7.7109375" style="1" customWidth="1"/>
    <col min="20" max="23" width="5.7109375" style="1" customWidth="1"/>
    <col min="24" max="24" width="7.5703125" style="1" customWidth="1"/>
    <col min="25" max="25" width="5.7109375" style="1" customWidth="1"/>
    <col min="26" max="16384" width="9.140625" style="1"/>
  </cols>
  <sheetData>
    <row r="1" spans="1:42" ht="12" customHeight="1" x14ac:dyDescent="0.25">
      <c r="D1" s="50"/>
      <c r="F1" s="88"/>
      <c r="G1" s="88"/>
      <c r="U1" s="50"/>
    </row>
    <row r="2" spans="1:42" s="89" customFormat="1" ht="15.95" customHeight="1" x14ac:dyDescent="0.25">
      <c r="B2" s="90" t="s">
        <v>291</v>
      </c>
      <c r="D2" s="73" t="s">
        <v>292</v>
      </c>
      <c r="E2" s="91">
        <f>+x!C7</f>
        <v>1</v>
      </c>
      <c r="F2" s="88"/>
      <c r="G2" s="90" t="s">
        <v>293</v>
      </c>
      <c r="J2" s="90"/>
      <c r="K2" s="90"/>
      <c r="AO2" s="1"/>
      <c r="AP2" s="1"/>
    </row>
    <row r="3" spans="1:42" s="89" customFormat="1" ht="15.95" customHeight="1" x14ac:dyDescent="0.25">
      <c r="B3" s="73" t="s">
        <v>294</v>
      </c>
      <c r="F3" s="90"/>
      <c r="G3" s="73" t="s">
        <v>295</v>
      </c>
      <c r="J3" s="90"/>
      <c r="K3" s="90"/>
      <c r="Q3" s="92"/>
      <c r="R3" s="92"/>
      <c r="S3" s="92"/>
      <c r="T3" s="92"/>
      <c r="U3" s="92"/>
      <c r="V3" s="92"/>
      <c r="AO3" s="51"/>
      <c r="AP3" s="51"/>
    </row>
    <row r="4" spans="1:42" ht="8.1" customHeight="1" x14ac:dyDescent="0.2">
      <c r="N4" s="93"/>
      <c r="AO4" s="51"/>
      <c r="AP4" s="51"/>
    </row>
    <row r="5" spans="1:42" ht="12.75" customHeight="1" x14ac:dyDescent="0.2">
      <c r="A5" s="94"/>
      <c r="B5" s="95" t="s">
        <v>296</v>
      </c>
      <c r="C5" s="95" t="s">
        <v>297</v>
      </c>
      <c r="D5" s="96"/>
      <c r="E5" s="96"/>
      <c r="F5" s="96"/>
      <c r="G5" s="95" t="s">
        <v>296</v>
      </c>
      <c r="H5" s="95" t="s">
        <v>297</v>
      </c>
      <c r="I5" s="94"/>
      <c r="J5" s="94"/>
      <c r="K5" s="94"/>
      <c r="L5" s="51"/>
      <c r="M5" s="51"/>
      <c r="N5" s="97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42" ht="12.75" customHeight="1" x14ac:dyDescent="0.25">
      <c r="A6" s="94"/>
      <c r="B6" s="98">
        <v>0</v>
      </c>
      <c r="C6" s="95"/>
      <c r="D6" s="96"/>
      <c r="E6" s="96"/>
      <c r="G6" s="41">
        <v>0</v>
      </c>
      <c r="H6" s="40"/>
      <c r="I6" s="94"/>
      <c r="J6" s="94"/>
      <c r="K6" s="94"/>
      <c r="L6" s="51"/>
      <c r="M6" s="51"/>
      <c r="N6" s="97"/>
      <c r="O6" s="51"/>
      <c r="P6" s="51"/>
      <c r="Q6" s="51"/>
      <c r="R6" s="99"/>
      <c r="S6" s="51"/>
      <c r="T6" s="51"/>
      <c r="U6" s="51"/>
      <c r="V6" s="51"/>
      <c r="W6" s="51"/>
      <c r="X6" s="51"/>
      <c r="AO6" s="17"/>
      <c r="AP6" s="17"/>
    </row>
    <row r="7" spans="1:42" ht="12.75" customHeight="1" x14ac:dyDescent="0.2">
      <c r="A7" s="94"/>
      <c r="B7" s="95">
        <v>1</v>
      </c>
      <c r="C7" s="100">
        <f>750*E2</f>
        <v>750</v>
      </c>
      <c r="D7" s="94"/>
      <c r="E7" s="94"/>
      <c r="F7" s="96"/>
      <c r="G7" s="95">
        <v>1</v>
      </c>
      <c r="H7" s="100">
        <f>2500*E2</f>
        <v>2500</v>
      </c>
      <c r="I7" s="94"/>
      <c r="J7" s="94"/>
      <c r="K7" s="94"/>
      <c r="N7" s="93"/>
    </row>
    <row r="8" spans="1:42" ht="12.75" customHeight="1" x14ac:dyDescent="0.2">
      <c r="A8" s="94"/>
      <c r="B8" s="95">
        <v>2</v>
      </c>
      <c r="C8" s="100">
        <f>1500*E2</f>
        <v>1500</v>
      </c>
      <c r="D8" s="94"/>
      <c r="E8" s="94"/>
      <c r="F8" s="94"/>
      <c r="G8" s="95">
        <v>2</v>
      </c>
      <c r="H8" s="100">
        <f>5000*E2</f>
        <v>5000</v>
      </c>
      <c r="I8" s="96"/>
      <c r="J8" s="96"/>
      <c r="K8" s="9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X8" s="17"/>
    </row>
    <row r="9" spans="1:42" ht="12.75" customHeight="1" x14ac:dyDescent="0.2">
      <c r="A9" s="94"/>
      <c r="B9" s="95">
        <v>3</v>
      </c>
      <c r="C9" s="100">
        <f>2250*E2</f>
        <v>2250</v>
      </c>
      <c r="D9" s="94"/>
      <c r="E9" s="94"/>
      <c r="F9" s="94"/>
      <c r="G9" s="95">
        <v>3</v>
      </c>
      <c r="H9" s="100">
        <f>6900*E2</f>
        <v>6900</v>
      </c>
      <c r="I9" s="94"/>
      <c r="J9" s="94"/>
      <c r="K9" s="94"/>
    </row>
    <row r="10" spans="1:42" ht="12.75" customHeight="1" x14ac:dyDescent="0.2">
      <c r="A10" s="94"/>
      <c r="B10" s="95">
        <v>4</v>
      </c>
      <c r="C10" s="100">
        <f>3000*E2</f>
        <v>3000</v>
      </c>
      <c r="D10" s="94"/>
      <c r="E10" s="94"/>
      <c r="F10" s="94"/>
      <c r="G10" s="95">
        <v>4</v>
      </c>
      <c r="H10" s="100">
        <f>8800*E2</f>
        <v>8800</v>
      </c>
      <c r="I10" s="94"/>
      <c r="J10" s="94"/>
      <c r="K10" s="94"/>
    </row>
    <row r="11" spans="1:42" ht="12.75" customHeight="1" x14ac:dyDescent="0.2">
      <c r="A11" s="94"/>
      <c r="B11" s="95">
        <v>5</v>
      </c>
      <c r="C11" s="101">
        <f>3500*E2</f>
        <v>3500</v>
      </c>
      <c r="D11" s="94"/>
      <c r="E11" s="94"/>
      <c r="F11" s="94"/>
      <c r="G11" s="95">
        <v>5</v>
      </c>
      <c r="H11" s="100">
        <f>10700*E2</f>
        <v>10700</v>
      </c>
      <c r="I11" s="94"/>
      <c r="J11" s="94"/>
      <c r="K11" s="94"/>
    </row>
    <row r="12" spans="1:42" ht="12.75" customHeight="1" x14ac:dyDescent="0.2">
      <c r="A12" s="94"/>
      <c r="B12" s="95">
        <v>6</v>
      </c>
      <c r="C12" s="100">
        <f>4000*E2</f>
        <v>4000</v>
      </c>
      <c r="D12" s="94"/>
      <c r="E12" s="94"/>
      <c r="F12" s="94"/>
      <c r="G12" s="95">
        <v>6</v>
      </c>
      <c r="H12" s="100">
        <f>12600*E2</f>
        <v>12600</v>
      </c>
      <c r="I12" s="94"/>
      <c r="J12" s="94"/>
      <c r="K12" s="94"/>
    </row>
    <row r="13" spans="1:42" ht="12.75" customHeight="1" x14ac:dyDescent="0.2">
      <c r="A13" s="94"/>
      <c r="B13" s="95">
        <v>7</v>
      </c>
      <c r="C13" s="100">
        <f>4500*E2</f>
        <v>4500</v>
      </c>
      <c r="D13" s="94"/>
      <c r="E13" s="94"/>
      <c r="F13" s="94"/>
      <c r="G13" s="95">
        <v>7</v>
      </c>
      <c r="H13" s="100">
        <f>14500*E2</f>
        <v>14500</v>
      </c>
      <c r="I13" s="94"/>
      <c r="J13" s="94"/>
      <c r="K13" s="94"/>
    </row>
    <row r="14" spans="1:42" ht="12.75" customHeight="1" x14ac:dyDescent="0.2">
      <c r="A14" s="94"/>
      <c r="B14" s="95">
        <v>8</v>
      </c>
      <c r="C14" s="100">
        <f>5000*E2</f>
        <v>5000</v>
      </c>
      <c r="D14" s="94"/>
      <c r="E14" s="94"/>
      <c r="F14" s="94"/>
      <c r="G14" s="95">
        <v>8</v>
      </c>
      <c r="H14" s="100">
        <f>16400*E2</f>
        <v>16400</v>
      </c>
      <c r="I14" s="94"/>
      <c r="J14" s="94"/>
      <c r="K14" s="94"/>
    </row>
    <row r="15" spans="1:42" ht="12.75" customHeight="1" x14ac:dyDescent="0.2">
      <c r="A15" s="94"/>
      <c r="B15" s="95">
        <v>9</v>
      </c>
      <c r="C15" s="100">
        <f>5500*E2</f>
        <v>5500</v>
      </c>
      <c r="D15" s="94"/>
      <c r="E15" s="94"/>
      <c r="F15" s="94"/>
      <c r="G15" s="95">
        <v>9</v>
      </c>
      <c r="H15" s="100">
        <f>17800*E2</f>
        <v>17800</v>
      </c>
      <c r="I15" s="94"/>
      <c r="J15" s="94"/>
      <c r="K15" s="94"/>
      <c r="N15" s="93"/>
    </row>
    <row r="16" spans="1:42" ht="12.75" customHeight="1" x14ac:dyDescent="0.2">
      <c r="A16" s="94"/>
      <c r="B16" s="95">
        <v>10</v>
      </c>
      <c r="C16" s="101">
        <f>6000*E2</f>
        <v>6000</v>
      </c>
      <c r="D16" s="94"/>
      <c r="E16" s="94"/>
      <c r="F16" s="94"/>
      <c r="G16" s="95">
        <v>10</v>
      </c>
      <c r="H16" s="100">
        <f>19200*E2</f>
        <v>19200</v>
      </c>
      <c r="I16" s="102"/>
      <c r="J16" s="94"/>
      <c r="K16" s="94"/>
      <c r="N16" s="93"/>
    </row>
    <row r="17" spans="1:14" ht="12.75" customHeight="1" x14ac:dyDescent="0.2">
      <c r="A17" s="94"/>
      <c r="B17" s="95">
        <v>11</v>
      </c>
      <c r="C17" s="100">
        <f>6300*E2</f>
        <v>6300</v>
      </c>
      <c r="D17" s="94"/>
      <c r="E17" s="94"/>
      <c r="F17" s="94"/>
      <c r="G17" s="95">
        <v>11</v>
      </c>
      <c r="H17" s="100">
        <f>20600*E2</f>
        <v>20600</v>
      </c>
      <c r="I17" s="94"/>
      <c r="J17" s="94"/>
      <c r="K17" s="94"/>
      <c r="N17" s="93"/>
    </row>
    <row r="18" spans="1:14" ht="12.75" customHeight="1" x14ac:dyDescent="0.2">
      <c r="A18" s="94"/>
      <c r="B18" s="95">
        <v>12</v>
      </c>
      <c r="C18" s="100">
        <f>6600*E2</f>
        <v>6600</v>
      </c>
      <c r="D18" s="94"/>
      <c r="E18" s="94"/>
      <c r="F18" s="94"/>
      <c r="G18" s="95">
        <v>12</v>
      </c>
      <c r="H18" s="100">
        <f>22200*E2</f>
        <v>22200</v>
      </c>
      <c r="I18" s="94"/>
      <c r="J18" s="94"/>
      <c r="K18" s="94"/>
      <c r="N18" s="93"/>
    </row>
    <row r="19" spans="1:14" ht="12.75" customHeight="1" x14ac:dyDescent="0.2">
      <c r="A19" s="94"/>
      <c r="B19" s="95">
        <v>13</v>
      </c>
      <c r="C19" s="100">
        <f>6900*E2</f>
        <v>6900</v>
      </c>
      <c r="D19" s="94"/>
      <c r="E19" s="94"/>
      <c r="F19" s="94"/>
      <c r="G19" s="95">
        <v>13</v>
      </c>
      <c r="H19" s="100">
        <f>23400*E2</f>
        <v>23400</v>
      </c>
      <c r="I19" s="94"/>
      <c r="J19" s="94"/>
      <c r="K19" s="94"/>
    </row>
    <row r="20" spans="1:14" ht="12.75" customHeight="1" x14ac:dyDescent="0.2">
      <c r="A20" s="94"/>
      <c r="B20" s="95">
        <v>14</v>
      </c>
      <c r="C20" s="100">
        <f>7200*E2</f>
        <v>7200</v>
      </c>
      <c r="D20" s="94"/>
      <c r="E20" s="94"/>
      <c r="F20" s="94"/>
      <c r="G20" s="95">
        <v>14</v>
      </c>
      <c r="H20" s="100">
        <f>24800*E2</f>
        <v>24800</v>
      </c>
      <c r="I20" s="94"/>
      <c r="J20" s="94"/>
      <c r="K20" s="94"/>
    </row>
    <row r="21" spans="1:14" ht="12.75" customHeight="1" x14ac:dyDescent="0.2">
      <c r="A21" s="94"/>
      <c r="B21" s="95">
        <v>15</v>
      </c>
      <c r="C21" s="101">
        <f>7500*E2</f>
        <v>7500</v>
      </c>
      <c r="D21" s="94"/>
      <c r="E21" s="94"/>
      <c r="F21" s="94"/>
      <c r="G21" s="95">
        <v>15</v>
      </c>
      <c r="H21" s="100">
        <f>26200*E2</f>
        <v>26200</v>
      </c>
      <c r="I21" s="94"/>
      <c r="J21" s="94"/>
      <c r="K21" s="94"/>
    </row>
    <row r="22" spans="1:14" ht="12.75" customHeight="1" x14ac:dyDescent="0.2">
      <c r="A22" s="94"/>
      <c r="B22" s="95">
        <v>16</v>
      </c>
      <c r="C22" s="100">
        <f>7800*E2</f>
        <v>7800</v>
      </c>
      <c r="D22" s="94"/>
      <c r="E22" s="94"/>
      <c r="F22" s="94"/>
      <c r="G22" s="95">
        <v>16</v>
      </c>
      <c r="H22" s="100">
        <f>27600*E2</f>
        <v>27600</v>
      </c>
      <c r="I22" s="94"/>
      <c r="J22" s="94"/>
      <c r="K22" s="94"/>
    </row>
    <row r="23" spans="1:14" ht="12.75" customHeight="1" x14ac:dyDescent="0.2">
      <c r="A23" s="94"/>
      <c r="B23" s="95">
        <v>17</v>
      </c>
      <c r="C23" s="100">
        <f>8100*E2</f>
        <v>8100</v>
      </c>
      <c r="D23" s="94"/>
      <c r="E23" s="94"/>
      <c r="F23" s="94"/>
      <c r="G23" s="95">
        <v>17</v>
      </c>
      <c r="H23" s="100">
        <f>29000*E2</f>
        <v>29000</v>
      </c>
      <c r="I23" s="94"/>
      <c r="J23" s="94"/>
      <c r="K23" s="94"/>
    </row>
    <row r="24" spans="1:14" ht="12.75" customHeight="1" x14ac:dyDescent="0.2">
      <c r="A24" s="94"/>
      <c r="B24" s="95">
        <v>18</v>
      </c>
      <c r="C24" s="100">
        <f>8400*E2</f>
        <v>8400</v>
      </c>
      <c r="D24" s="94"/>
      <c r="E24" s="94"/>
      <c r="F24" s="94"/>
      <c r="G24" s="95">
        <v>18</v>
      </c>
      <c r="H24" s="100">
        <f>30400*E2</f>
        <v>30400</v>
      </c>
      <c r="I24" s="94"/>
      <c r="J24" s="94"/>
      <c r="K24" s="94"/>
    </row>
    <row r="25" spans="1:14" ht="12.75" customHeight="1" x14ac:dyDescent="0.2">
      <c r="A25" s="94"/>
      <c r="B25" s="95">
        <v>19</v>
      </c>
      <c r="C25" s="100">
        <f>8700*E2</f>
        <v>8700</v>
      </c>
      <c r="D25" s="94"/>
      <c r="E25" s="94"/>
      <c r="F25" s="94"/>
      <c r="G25" s="95">
        <v>19</v>
      </c>
      <c r="H25" s="100">
        <f>31800*E2</f>
        <v>31800</v>
      </c>
      <c r="I25" s="94"/>
      <c r="J25" s="94"/>
      <c r="K25" s="94"/>
    </row>
    <row r="26" spans="1:14" ht="12.75" customHeight="1" x14ac:dyDescent="0.2">
      <c r="A26" s="94"/>
      <c r="B26" s="95">
        <v>20</v>
      </c>
      <c r="C26" s="101">
        <f>9000*E2</f>
        <v>9000</v>
      </c>
      <c r="D26" s="94"/>
      <c r="E26" s="94"/>
      <c r="F26" s="94"/>
      <c r="G26" s="95">
        <v>20</v>
      </c>
      <c r="H26" s="100">
        <f>33200*E2</f>
        <v>33200</v>
      </c>
      <c r="I26" s="94"/>
      <c r="J26" s="94"/>
      <c r="K26" s="94"/>
    </row>
    <row r="27" spans="1:14" ht="12.75" customHeight="1" x14ac:dyDescent="0.2">
      <c r="A27" s="94"/>
      <c r="B27" s="95">
        <v>21</v>
      </c>
      <c r="C27" s="100">
        <f>9300*E2</f>
        <v>9300</v>
      </c>
      <c r="D27" s="94"/>
      <c r="E27" s="94"/>
      <c r="F27" s="94"/>
      <c r="G27" s="95">
        <v>21</v>
      </c>
      <c r="H27" s="100">
        <f>34200*E2</f>
        <v>34200</v>
      </c>
      <c r="I27" s="94"/>
      <c r="J27" s="94"/>
      <c r="K27" s="94"/>
    </row>
    <row r="28" spans="1:14" ht="12.75" customHeight="1" x14ac:dyDescent="0.2">
      <c r="A28" s="94"/>
      <c r="B28" s="95">
        <v>22</v>
      </c>
      <c r="C28" s="100">
        <f>9600*E2</f>
        <v>9600</v>
      </c>
      <c r="D28" s="94"/>
      <c r="E28" s="94"/>
      <c r="F28" s="94"/>
      <c r="G28" s="95">
        <v>22</v>
      </c>
      <c r="H28" s="100">
        <f>35200*E2</f>
        <v>35200</v>
      </c>
      <c r="I28" s="94"/>
      <c r="J28" s="94"/>
      <c r="K28" s="94"/>
    </row>
    <row r="29" spans="1:14" ht="12.75" customHeight="1" x14ac:dyDescent="0.2">
      <c r="A29" s="94"/>
      <c r="B29" s="95">
        <v>23</v>
      </c>
      <c r="C29" s="100">
        <f>9900*E2</f>
        <v>9900</v>
      </c>
      <c r="D29" s="94"/>
      <c r="E29" s="94"/>
      <c r="F29" s="94"/>
      <c r="G29" s="95">
        <v>23</v>
      </c>
      <c r="H29" s="100">
        <f>36200*E2</f>
        <v>36200</v>
      </c>
      <c r="I29" s="94"/>
      <c r="J29" s="94"/>
      <c r="K29" s="94"/>
    </row>
    <row r="30" spans="1:14" ht="12.75" customHeight="1" x14ac:dyDescent="0.2">
      <c r="A30" s="94"/>
      <c r="B30" s="95">
        <v>24</v>
      </c>
      <c r="C30" s="100">
        <f>10200*E2</f>
        <v>10200</v>
      </c>
      <c r="D30" s="94"/>
      <c r="E30" s="94"/>
      <c r="F30" s="94"/>
      <c r="G30" s="95">
        <v>24</v>
      </c>
      <c r="H30" s="100">
        <f>37200*E2</f>
        <v>37200</v>
      </c>
      <c r="I30" s="94"/>
      <c r="J30" s="94"/>
      <c r="K30" s="94"/>
    </row>
    <row r="31" spans="1:14" ht="12.75" customHeight="1" x14ac:dyDescent="0.2">
      <c r="A31" s="94"/>
      <c r="B31" s="95">
        <v>25</v>
      </c>
      <c r="C31" s="101">
        <f>10500*E2</f>
        <v>10500</v>
      </c>
      <c r="D31" s="94"/>
      <c r="E31" s="94"/>
      <c r="F31" s="94"/>
      <c r="G31" s="95">
        <v>25</v>
      </c>
      <c r="H31" s="100">
        <f>38200*E2</f>
        <v>38200</v>
      </c>
      <c r="I31" s="94"/>
      <c r="J31" s="94"/>
      <c r="K31" s="94"/>
    </row>
    <row r="32" spans="1:14" ht="12.75" customHeight="1" x14ac:dyDescent="0.2">
      <c r="A32" s="94"/>
      <c r="B32" s="95">
        <v>26</v>
      </c>
      <c r="C32" s="100">
        <f>10800*E2</f>
        <v>10800</v>
      </c>
      <c r="D32" s="94"/>
      <c r="E32" s="94"/>
      <c r="F32" s="94"/>
      <c r="G32" s="95">
        <v>26</v>
      </c>
      <c r="H32" s="100">
        <f>39200*E2</f>
        <v>39200</v>
      </c>
      <c r="I32" s="94"/>
      <c r="J32" s="94"/>
      <c r="K32" s="94"/>
    </row>
    <row r="33" spans="1:15" ht="12.75" customHeight="1" x14ac:dyDescent="0.2">
      <c r="A33" s="94"/>
      <c r="B33" s="95">
        <v>27</v>
      </c>
      <c r="C33" s="100">
        <f>11100*E2</f>
        <v>11100</v>
      </c>
      <c r="D33" s="94"/>
      <c r="E33" s="94"/>
      <c r="F33" s="94"/>
      <c r="G33" s="95">
        <v>27</v>
      </c>
      <c r="H33" s="100">
        <f>40200*E2</f>
        <v>40200</v>
      </c>
      <c r="I33" s="94"/>
      <c r="J33" s="94"/>
      <c r="K33" s="94"/>
    </row>
    <row r="34" spans="1:15" ht="12.75" customHeight="1" x14ac:dyDescent="0.2">
      <c r="A34" s="94"/>
      <c r="B34" s="95">
        <v>28</v>
      </c>
      <c r="C34" s="100">
        <f>11400*E2</f>
        <v>11400</v>
      </c>
      <c r="D34" s="94"/>
      <c r="E34" s="94"/>
      <c r="F34" s="94"/>
      <c r="G34" s="95">
        <v>28</v>
      </c>
      <c r="H34" s="100">
        <f>41200*E2</f>
        <v>41200</v>
      </c>
      <c r="I34" s="94"/>
      <c r="J34" s="94"/>
      <c r="K34" s="94"/>
    </row>
    <row r="35" spans="1:15" ht="12.75" customHeight="1" x14ac:dyDescent="0.2">
      <c r="A35" s="94"/>
      <c r="B35" s="95">
        <v>29</v>
      </c>
      <c r="C35" s="100">
        <f>11700*E2</f>
        <v>11700</v>
      </c>
      <c r="D35" s="94"/>
      <c r="E35" s="94"/>
      <c r="F35" s="94"/>
      <c r="G35" s="95">
        <v>29</v>
      </c>
      <c r="H35" s="100">
        <f>42200*E2</f>
        <v>42200</v>
      </c>
      <c r="I35" s="94"/>
      <c r="J35" s="94"/>
      <c r="K35" s="94"/>
    </row>
    <row r="36" spans="1:15" ht="12.75" customHeight="1" x14ac:dyDescent="0.2">
      <c r="A36" s="94"/>
      <c r="B36" s="95">
        <v>30</v>
      </c>
      <c r="C36" s="101">
        <f>12000*E2</f>
        <v>12000</v>
      </c>
      <c r="D36" s="94"/>
      <c r="E36" s="94"/>
      <c r="F36" s="94"/>
      <c r="G36" s="95">
        <v>30</v>
      </c>
      <c r="H36" s="100">
        <f>43200*E2</f>
        <v>43200</v>
      </c>
      <c r="I36" s="94"/>
      <c r="J36" s="94"/>
      <c r="K36" s="94"/>
    </row>
    <row r="37" spans="1:15" ht="12.75" customHeight="1" x14ac:dyDescent="0.2">
      <c r="A37" s="94"/>
      <c r="B37" s="95">
        <v>31</v>
      </c>
      <c r="C37" s="100">
        <f>12300*E2</f>
        <v>12300</v>
      </c>
      <c r="D37" s="94"/>
      <c r="E37" s="94"/>
      <c r="F37" s="94"/>
      <c r="G37" s="95">
        <v>31</v>
      </c>
      <c r="H37" s="100">
        <f>44200*E2</f>
        <v>44200</v>
      </c>
      <c r="I37" s="94"/>
      <c r="J37" s="94"/>
      <c r="K37" s="94"/>
    </row>
    <row r="38" spans="1:15" ht="12.75" customHeight="1" x14ac:dyDescent="0.2">
      <c r="A38" s="94"/>
      <c r="B38" s="95">
        <v>32</v>
      </c>
      <c r="C38" s="100">
        <f>12600*E2</f>
        <v>12600</v>
      </c>
      <c r="D38" s="94"/>
      <c r="E38" s="94"/>
      <c r="F38" s="94"/>
      <c r="G38" s="95">
        <v>32</v>
      </c>
      <c r="H38" s="100">
        <f>45200*E2</f>
        <v>45200</v>
      </c>
      <c r="I38" s="94"/>
      <c r="J38" s="94"/>
      <c r="K38" s="94"/>
    </row>
    <row r="39" spans="1:15" ht="12.75" customHeight="1" x14ac:dyDescent="0.2">
      <c r="A39" s="94"/>
      <c r="B39" s="95">
        <v>33</v>
      </c>
      <c r="C39" s="100">
        <f>12900*E2</f>
        <v>12900</v>
      </c>
      <c r="D39" s="94"/>
      <c r="E39" s="94"/>
      <c r="F39" s="94"/>
      <c r="G39" s="95">
        <v>33</v>
      </c>
      <c r="H39" s="100">
        <f>46200*E2</f>
        <v>46200</v>
      </c>
      <c r="I39" s="94"/>
      <c r="J39" s="94"/>
      <c r="K39" s="94"/>
    </row>
    <row r="40" spans="1:15" x14ac:dyDescent="0.2">
      <c r="A40" s="94"/>
      <c r="B40" s="95">
        <v>34</v>
      </c>
      <c r="C40" s="100">
        <f>13200*E2</f>
        <v>13200</v>
      </c>
      <c r="D40" s="94"/>
      <c r="E40" s="94"/>
      <c r="F40" s="94"/>
      <c r="G40" s="95">
        <v>34</v>
      </c>
      <c r="H40" s="100">
        <f>47200*E2</f>
        <v>47200</v>
      </c>
      <c r="I40" s="94"/>
      <c r="J40" s="94"/>
      <c r="K40" s="94"/>
    </row>
    <row r="41" spans="1:15" x14ac:dyDescent="0.2">
      <c r="A41" s="94"/>
      <c r="B41" s="95">
        <v>35</v>
      </c>
      <c r="C41" s="101">
        <f>13500*E2</f>
        <v>13500</v>
      </c>
      <c r="D41" s="94"/>
      <c r="E41" s="94"/>
      <c r="F41" s="94"/>
      <c r="G41" s="95">
        <v>35</v>
      </c>
      <c r="H41" s="100">
        <f>48200*E2</f>
        <v>48200</v>
      </c>
      <c r="I41" s="94"/>
      <c r="J41" s="94"/>
      <c r="K41" s="94"/>
    </row>
    <row r="42" spans="1:15" x14ac:dyDescent="0.2">
      <c r="A42" s="94"/>
      <c r="B42" s="95">
        <v>36</v>
      </c>
      <c r="C42" s="100">
        <f>13800*E2</f>
        <v>13800</v>
      </c>
      <c r="D42" s="94"/>
      <c r="E42" s="94"/>
      <c r="F42" s="94"/>
      <c r="G42" s="95">
        <v>36</v>
      </c>
      <c r="H42" s="100">
        <f>49200*E2</f>
        <v>49200</v>
      </c>
      <c r="I42" s="94"/>
      <c r="J42" s="94"/>
      <c r="K42" s="94"/>
    </row>
    <row r="43" spans="1:15" x14ac:dyDescent="0.2">
      <c r="A43" s="94"/>
      <c r="B43" s="95">
        <v>37</v>
      </c>
      <c r="C43" s="100">
        <f>14100*E2</f>
        <v>14100</v>
      </c>
      <c r="D43" s="94"/>
      <c r="E43" s="94"/>
      <c r="F43" s="94"/>
      <c r="G43" s="95">
        <v>37</v>
      </c>
      <c r="H43" s="100">
        <f>50200*E2</f>
        <v>50200</v>
      </c>
      <c r="I43" s="94"/>
      <c r="J43" s="94"/>
      <c r="K43" s="94"/>
    </row>
    <row r="44" spans="1:15" x14ac:dyDescent="0.2">
      <c r="A44" s="94"/>
      <c r="B44" s="95">
        <v>38</v>
      </c>
      <c r="C44" s="100">
        <f>14400*E2</f>
        <v>14400</v>
      </c>
      <c r="D44" s="94"/>
      <c r="E44" s="94"/>
      <c r="F44" s="94"/>
      <c r="G44" s="95">
        <v>38</v>
      </c>
      <c r="H44" s="100">
        <f>51200*E2</f>
        <v>51200</v>
      </c>
      <c r="I44" s="94"/>
      <c r="J44" s="94"/>
      <c r="K44" s="94"/>
      <c r="L44" s="85"/>
    </row>
    <row r="45" spans="1:15" x14ac:dyDescent="0.2">
      <c r="A45" s="94"/>
      <c r="B45" s="95">
        <v>39</v>
      </c>
      <c r="C45" s="100">
        <f>14700*E2</f>
        <v>14700</v>
      </c>
      <c r="D45" s="94"/>
      <c r="E45" s="94"/>
      <c r="F45" s="94"/>
      <c r="G45" s="95">
        <v>39</v>
      </c>
      <c r="H45" s="100">
        <f>52200*E2</f>
        <v>52200</v>
      </c>
      <c r="I45" s="94"/>
      <c r="J45" s="94"/>
      <c r="K45" s="94"/>
      <c r="L45" s="85"/>
    </row>
    <row r="46" spans="1:15" x14ac:dyDescent="0.2">
      <c r="A46" s="94"/>
      <c r="B46" s="95">
        <v>40</v>
      </c>
      <c r="C46" s="101">
        <f>15000*E2</f>
        <v>15000</v>
      </c>
      <c r="D46" s="94"/>
      <c r="E46" s="94"/>
      <c r="F46" s="94"/>
      <c r="G46" s="95">
        <v>40</v>
      </c>
      <c r="H46" s="100">
        <f>53200*E2</f>
        <v>53200</v>
      </c>
      <c r="I46" s="94"/>
      <c r="J46" s="94"/>
      <c r="K46" s="94"/>
      <c r="L46" s="85"/>
    </row>
    <row r="47" spans="1:15" x14ac:dyDescent="0.2">
      <c r="A47" s="94"/>
      <c r="B47" s="95">
        <v>41</v>
      </c>
      <c r="C47" s="100">
        <f>15200*E2</f>
        <v>15200</v>
      </c>
      <c r="D47" s="94"/>
      <c r="E47" s="94"/>
      <c r="F47" s="94"/>
      <c r="G47" s="95">
        <v>41</v>
      </c>
      <c r="H47" s="100">
        <f>54200*E2</f>
        <v>54200</v>
      </c>
      <c r="I47" s="94"/>
      <c r="J47" s="94"/>
      <c r="K47" s="94"/>
      <c r="L47" s="85"/>
      <c r="M47" s="93"/>
      <c r="O47" s="93"/>
    </row>
    <row r="48" spans="1:15" x14ac:dyDescent="0.2">
      <c r="A48" s="94"/>
      <c r="B48" s="95">
        <v>42</v>
      </c>
      <c r="C48" s="100">
        <f>15400*E2</f>
        <v>15400</v>
      </c>
      <c r="D48" s="94"/>
      <c r="E48" s="94"/>
      <c r="F48" s="94"/>
      <c r="G48" s="95">
        <v>42</v>
      </c>
      <c r="H48" s="100">
        <f>55200*E2</f>
        <v>55200</v>
      </c>
      <c r="I48" s="103"/>
      <c r="J48" s="94"/>
      <c r="K48" s="104"/>
      <c r="M48" s="93"/>
      <c r="O48" s="93"/>
    </row>
    <row r="49" spans="1:35" x14ac:dyDescent="0.2">
      <c r="A49" s="94"/>
      <c r="B49" s="95">
        <v>43</v>
      </c>
      <c r="C49" s="100">
        <f>15600*E2</f>
        <v>15600</v>
      </c>
      <c r="D49" s="94"/>
      <c r="E49" s="94"/>
      <c r="F49" s="94"/>
      <c r="G49" s="95">
        <v>43</v>
      </c>
      <c r="H49" s="100">
        <f>56200*E2</f>
        <v>56200</v>
      </c>
      <c r="I49" s="103"/>
      <c r="J49" s="94"/>
      <c r="K49" s="104"/>
      <c r="M49" s="93"/>
      <c r="O49" s="93"/>
    </row>
    <row r="50" spans="1:35" x14ac:dyDescent="0.2">
      <c r="A50" s="94"/>
      <c r="B50" s="95">
        <v>44</v>
      </c>
      <c r="C50" s="100">
        <f>15800*E2</f>
        <v>15800</v>
      </c>
      <c r="D50" s="94"/>
      <c r="E50" s="94"/>
      <c r="F50" s="94"/>
      <c r="G50" s="95">
        <v>44</v>
      </c>
      <c r="H50" s="100">
        <f>57200*E2</f>
        <v>57200</v>
      </c>
      <c r="I50" s="103"/>
      <c r="J50" s="94"/>
      <c r="K50" s="104"/>
      <c r="M50" s="93"/>
      <c r="O50" s="93"/>
    </row>
    <row r="51" spans="1:35" x14ac:dyDescent="0.2">
      <c r="A51" s="94"/>
      <c r="B51" s="95">
        <v>45</v>
      </c>
      <c r="C51" s="101">
        <f>16000*E2</f>
        <v>16000</v>
      </c>
      <c r="D51" s="94"/>
      <c r="E51" s="94"/>
      <c r="F51" s="94"/>
      <c r="G51" s="95">
        <v>45</v>
      </c>
      <c r="H51" s="100">
        <f>58200*E2</f>
        <v>58200</v>
      </c>
      <c r="I51" s="94"/>
      <c r="J51" s="94"/>
      <c r="K51" s="94"/>
    </row>
    <row r="52" spans="1:35" s="51" customFormat="1" ht="15.95" customHeight="1" x14ac:dyDescent="0.2">
      <c r="A52" s="94"/>
      <c r="B52" s="95">
        <v>46</v>
      </c>
      <c r="C52" s="100">
        <f>16200*E2</f>
        <v>16200</v>
      </c>
      <c r="D52" s="94"/>
      <c r="E52" s="94"/>
      <c r="F52" s="94"/>
      <c r="G52" s="95">
        <v>46</v>
      </c>
      <c r="H52" s="100">
        <f>59200*E2</f>
        <v>59200</v>
      </c>
      <c r="I52" s="94"/>
      <c r="J52" s="94"/>
      <c r="K52" s="94"/>
    </row>
    <row r="53" spans="1:35" s="51" customFormat="1" ht="15.95" customHeight="1" x14ac:dyDescent="0.2">
      <c r="A53" s="94"/>
      <c r="B53" s="95">
        <v>47</v>
      </c>
      <c r="C53" s="100">
        <f>16400*E2</f>
        <v>16400</v>
      </c>
      <c r="D53" s="94"/>
      <c r="E53" s="94"/>
      <c r="F53" s="94"/>
      <c r="G53" s="95">
        <v>47</v>
      </c>
      <c r="H53" s="100">
        <f>60200*E2</f>
        <v>60200</v>
      </c>
      <c r="I53" s="94"/>
      <c r="J53" s="94"/>
      <c r="K53" s="94"/>
    </row>
    <row r="54" spans="1:35" x14ac:dyDescent="0.2">
      <c r="A54" s="94"/>
      <c r="B54" s="95">
        <v>48</v>
      </c>
      <c r="C54" s="100">
        <f>16600*E2</f>
        <v>16600</v>
      </c>
      <c r="D54" s="94"/>
      <c r="E54" s="94"/>
      <c r="F54" s="94"/>
      <c r="G54" s="95">
        <v>48</v>
      </c>
      <c r="H54" s="100">
        <f>61200*E2</f>
        <v>61200</v>
      </c>
      <c r="I54" s="94"/>
      <c r="J54" s="94"/>
      <c r="K54" s="94"/>
    </row>
    <row r="55" spans="1:35" ht="12.75" customHeight="1" x14ac:dyDescent="0.2">
      <c r="A55" s="94"/>
      <c r="B55" s="95">
        <v>49</v>
      </c>
      <c r="C55" s="100">
        <f>16800*E2</f>
        <v>16800</v>
      </c>
      <c r="D55" s="94"/>
      <c r="E55" s="94"/>
      <c r="F55" s="94"/>
      <c r="G55" s="95">
        <v>49</v>
      </c>
      <c r="H55" s="100">
        <f>62250*E2</f>
        <v>62250</v>
      </c>
      <c r="I55" s="94"/>
      <c r="J55" s="94"/>
      <c r="K55" s="94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2.75" customHeight="1" x14ac:dyDescent="0.2">
      <c r="A56" s="94"/>
      <c r="B56" s="95">
        <v>50</v>
      </c>
      <c r="C56" s="101">
        <f>17000*E2</f>
        <v>17000</v>
      </c>
      <c r="D56" s="94"/>
      <c r="E56" s="94"/>
      <c r="F56" s="94"/>
      <c r="G56" s="95">
        <v>50</v>
      </c>
      <c r="H56" s="100">
        <f>63200*E2</f>
        <v>63200</v>
      </c>
      <c r="J56" s="94"/>
      <c r="K56" s="94"/>
    </row>
    <row r="57" spans="1:35" ht="12.75" customHeight="1" x14ac:dyDescent="0.2">
      <c r="A57" s="94"/>
      <c r="B57" s="95">
        <v>51</v>
      </c>
      <c r="C57" s="100">
        <f>17200*E2</f>
        <v>17200</v>
      </c>
      <c r="D57" s="94"/>
      <c r="E57" s="94"/>
      <c r="F57" s="96" t="s">
        <v>298</v>
      </c>
      <c r="G57" s="95"/>
      <c r="H57" s="105">
        <f>800*E2</f>
        <v>800</v>
      </c>
      <c r="I57" s="94" t="s">
        <v>299</v>
      </c>
      <c r="J57" s="94"/>
      <c r="K57" s="94"/>
    </row>
    <row r="58" spans="1:35" ht="12.75" customHeight="1" x14ac:dyDescent="0.2">
      <c r="A58" s="94"/>
      <c r="B58" s="95">
        <v>52</v>
      </c>
      <c r="C58" s="100">
        <f>17400*E2</f>
        <v>17400</v>
      </c>
      <c r="D58" s="94"/>
      <c r="E58" s="94"/>
      <c r="F58" s="94"/>
      <c r="G58" s="94"/>
      <c r="H58" s="94"/>
      <c r="I58" s="94"/>
      <c r="J58" s="94"/>
      <c r="K58" s="94"/>
    </row>
    <row r="59" spans="1:35" ht="12.75" customHeight="1" x14ac:dyDescent="0.2">
      <c r="A59" s="94"/>
      <c r="B59" s="95">
        <v>53</v>
      </c>
      <c r="C59" s="100">
        <f>17600*E2</f>
        <v>17600</v>
      </c>
      <c r="D59" s="94"/>
      <c r="E59" s="94"/>
      <c r="F59" s="94"/>
      <c r="G59" s="94"/>
      <c r="H59" s="94"/>
      <c r="I59" s="94"/>
      <c r="J59" s="94"/>
      <c r="K59" s="94"/>
    </row>
    <row r="60" spans="1:35" ht="12.75" customHeight="1" x14ac:dyDescent="0.2">
      <c r="A60" s="94"/>
      <c r="B60" s="95">
        <v>54</v>
      </c>
      <c r="C60" s="100">
        <f>17800*E2</f>
        <v>17800</v>
      </c>
      <c r="D60" s="94"/>
      <c r="E60" s="94"/>
      <c r="F60" s="94"/>
      <c r="G60" s="94"/>
      <c r="H60" s="94"/>
      <c r="I60" s="94"/>
      <c r="J60" s="94"/>
      <c r="K60" s="94"/>
    </row>
    <row r="61" spans="1:35" ht="12.75" customHeight="1" x14ac:dyDescent="0.2">
      <c r="A61" s="94"/>
      <c r="B61" s="95">
        <v>55</v>
      </c>
      <c r="C61" s="101">
        <f>18000*E2</f>
        <v>18000</v>
      </c>
      <c r="D61" s="94"/>
      <c r="E61" s="94"/>
      <c r="F61" s="94"/>
      <c r="G61" s="94"/>
      <c r="H61" s="94"/>
      <c r="I61" s="94"/>
      <c r="J61" s="94"/>
      <c r="K61" s="94"/>
    </row>
    <row r="62" spans="1:35" x14ac:dyDescent="0.2">
      <c r="A62" s="94"/>
      <c r="B62" s="95">
        <v>56</v>
      </c>
      <c r="C62" s="100">
        <f>18200*E2</f>
        <v>18200</v>
      </c>
      <c r="D62" s="94"/>
      <c r="E62" s="94"/>
      <c r="F62" s="94"/>
      <c r="G62" s="94"/>
      <c r="H62" s="94"/>
      <c r="I62" s="94"/>
      <c r="J62" s="94"/>
      <c r="K62" s="94"/>
    </row>
    <row r="63" spans="1:35" x14ac:dyDescent="0.2">
      <c r="A63" s="94"/>
      <c r="B63" s="95">
        <v>57</v>
      </c>
      <c r="C63" s="100">
        <f>18400*E2</f>
        <v>18400</v>
      </c>
      <c r="D63" s="94"/>
      <c r="E63" s="94"/>
      <c r="F63" s="94"/>
      <c r="G63" s="94"/>
      <c r="H63" s="94"/>
      <c r="I63" s="94"/>
      <c r="J63" s="94"/>
      <c r="K63" s="94"/>
    </row>
    <row r="64" spans="1:35" x14ac:dyDescent="0.2">
      <c r="A64" s="94"/>
      <c r="B64" s="95">
        <v>58</v>
      </c>
      <c r="C64" s="100">
        <f>18600*E2</f>
        <v>18600</v>
      </c>
      <c r="D64" s="94"/>
      <c r="E64" s="94"/>
      <c r="F64" s="94"/>
      <c r="G64" s="94"/>
      <c r="H64" s="94"/>
      <c r="I64" s="94"/>
      <c r="J64" s="94"/>
      <c r="K64" s="94"/>
    </row>
    <row r="65" spans="1:11" x14ac:dyDescent="0.2">
      <c r="A65" s="94"/>
      <c r="B65" s="95">
        <v>59</v>
      </c>
      <c r="C65" s="100">
        <f>18800*E2</f>
        <v>18800</v>
      </c>
      <c r="D65" s="94"/>
      <c r="E65" s="94"/>
      <c r="F65" s="94"/>
      <c r="G65" s="94"/>
      <c r="H65" s="94"/>
      <c r="I65" s="94"/>
      <c r="J65" s="94"/>
      <c r="K65" s="94"/>
    </row>
    <row r="66" spans="1:11" x14ac:dyDescent="0.2">
      <c r="A66" s="94"/>
      <c r="B66" s="95">
        <v>60</v>
      </c>
      <c r="C66" s="101">
        <f>19000*E2</f>
        <v>19000</v>
      </c>
      <c r="D66" s="94"/>
      <c r="E66" s="94"/>
      <c r="F66" s="94"/>
      <c r="G66" s="94"/>
      <c r="H66" s="94"/>
      <c r="I66" s="94"/>
      <c r="J66" s="94"/>
      <c r="K66" s="94"/>
    </row>
    <row r="67" spans="1:11" x14ac:dyDescent="0.2">
      <c r="A67" s="94"/>
      <c r="B67" s="95">
        <v>61</v>
      </c>
      <c r="C67" s="100">
        <f>19200*E2</f>
        <v>19200</v>
      </c>
      <c r="D67" s="94"/>
      <c r="E67" s="94"/>
      <c r="F67" s="94"/>
      <c r="G67" s="94"/>
      <c r="H67" s="94"/>
      <c r="I67" s="94"/>
      <c r="J67" s="94"/>
      <c r="K67" s="94"/>
    </row>
    <row r="68" spans="1:11" x14ac:dyDescent="0.2">
      <c r="A68" s="94"/>
      <c r="B68" s="95">
        <v>62</v>
      </c>
      <c r="C68" s="100">
        <f>19400*E2</f>
        <v>19400</v>
      </c>
      <c r="D68" s="94"/>
      <c r="E68" s="94"/>
      <c r="F68" s="94"/>
      <c r="G68" s="94"/>
      <c r="H68" s="94"/>
      <c r="I68" s="94"/>
      <c r="J68" s="94"/>
      <c r="K68" s="94"/>
    </row>
    <row r="69" spans="1:11" x14ac:dyDescent="0.2">
      <c r="A69" s="94"/>
      <c r="B69" s="95">
        <v>63</v>
      </c>
      <c r="C69" s="100">
        <f>19600*E2</f>
        <v>19600</v>
      </c>
      <c r="D69" s="94"/>
      <c r="E69" s="94"/>
      <c r="F69" s="94"/>
      <c r="G69" s="94"/>
      <c r="H69" s="94"/>
      <c r="I69" s="94"/>
      <c r="J69" s="94"/>
      <c r="K69" s="94"/>
    </row>
    <row r="70" spans="1:11" x14ac:dyDescent="0.2">
      <c r="A70" s="94"/>
      <c r="B70" s="95">
        <v>64</v>
      </c>
      <c r="C70" s="100">
        <f>19800*E2</f>
        <v>19800</v>
      </c>
      <c r="D70" s="94"/>
      <c r="E70" s="94"/>
      <c r="F70" s="94"/>
      <c r="G70" s="94"/>
      <c r="H70" s="94"/>
      <c r="I70" s="94"/>
      <c r="J70" s="94"/>
      <c r="K70" s="94"/>
    </row>
    <row r="71" spans="1:11" x14ac:dyDescent="0.2">
      <c r="A71" s="94"/>
      <c r="B71" s="95">
        <v>65</v>
      </c>
      <c r="C71" s="101">
        <f>20000*E2</f>
        <v>20000</v>
      </c>
      <c r="D71" s="94"/>
      <c r="E71" s="94"/>
      <c r="F71" s="94"/>
      <c r="G71" s="94"/>
      <c r="H71" s="94"/>
      <c r="I71" s="94"/>
      <c r="J71" s="94"/>
      <c r="K71" s="94"/>
    </row>
    <row r="72" spans="1:11" x14ac:dyDescent="0.2">
      <c r="A72" s="94"/>
      <c r="B72" s="95">
        <v>66</v>
      </c>
      <c r="C72" s="100">
        <f>20200*E2</f>
        <v>20200</v>
      </c>
      <c r="D72" s="94"/>
      <c r="E72" s="94"/>
      <c r="F72" s="94"/>
      <c r="G72" s="94"/>
      <c r="H72" s="94"/>
      <c r="I72" s="94"/>
      <c r="J72" s="94"/>
      <c r="K72" s="94"/>
    </row>
    <row r="73" spans="1:11" x14ac:dyDescent="0.2">
      <c r="A73" s="94"/>
      <c r="B73" s="95">
        <v>67</v>
      </c>
      <c r="C73" s="100">
        <f>20400*E2</f>
        <v>20400</v>
      </c>
      <c r="D73" s="94"/>
      <c r="E73" s="94"/>
      <c r="F73" s="94"/>
      <c r="G73" s="94"/>
      <c r="H73" s="94"/>
      <c r="I73" s="94"/>
      <c r="J73" s="94"/>
      <c r="K73" s="94"/>
    </row>
    <row r="74" spans="1:11" x14ac:dyDescent="0.2">
      <c r="A74" s="94"/>
      <c r="B74" s="95">
        <v>68</v>
      </c>
      <c r="C74" s="100">
        <f>20600*E2</f>
        <v>20600</v>
      </c>
      <c r="D74" s="94"/>
      <c r="E74" s="94"/>
      <c r="F74" s="94"/>
      <c r="G74" s="94"/>
      <c r="H74" s="94"/>
      <c r="I74" s="94"/>
      <c r="J74" s="94"/>
      <c r="K74" s="94"/>
    </row>
    <row r="75" spans="1:11" x14ac:dyDescent="0.2">
      <c r="A75" s="94"/>
      <c r="B75" s="95">
        <v>69</v>
      </c>
      <c r="C75" s="100">
        <f>20800*E2</f>
        <v>20800</v>
      </c>
      <c r="D75" s="94"/>
      <c r="E75" s="94"/>
      <c r="F75" s="94"/>
      <c r="G75" s="94"/>
      <c r="H75" s="94"/>
      <c r="I75" s="94"/>
      <c r="J75" s="94"/>
      <c r="K75" s="94"/>
    </row>
    <row r="76" spans="1:11" x14ac:dyDescent="0.2">
      <c r="A76" s="94"/>
      <c r="B76" s="95">
        <v>70</v>
      </c>
      <c r="C76" s="101">
        <f>21000*E2</f>
        <v>21000</v>
      </c>
      <c r="D76" s="94"/>
      <c r="E76" s="94"/>
      <c r="F76" s="94"/>
      <c r="G76" s="94"/>
      <c r="H76" s="94"/>
      <c r="I76" s="94"/>
      <c r="J76" s="94"/>
      <c r="K76" s="94"/>
    </row>
    <row r="77" spans="1:11" x14ac:dyDescent="0.2">
      <c r="A77" s="94"/>
      <c r="B77" s="95">
        <v>71</v>
      </c>
      <c r="C77" s="100">
        <f>21200*E2</f>
        <v>21200</v>
      </c>
      <c r="D77" s="94"/>
      <c r="E77" s="94"/>
      <c r="F77" s="94"/>
      <c r="G77" s="94"/>
      <c r="H77" s="94"/>
      <c r="I77" s="94"/>
      <c r="J77" s="94"/>
      <c r="K77" s="94"/>
    </row>
    <row r="78" spans="1:11" x14ac:dyDescent="0.2">
      <c r="A78" s="94"/>
      <c r="B78" s="95">
        <v>72</v>
      </c>
      <c r="C78" s="100">
        <f>21400*E2</f>
        <v>21400</v>
      </c>
      <c r="D78" s="94"/>
      <c r="E78" s="94"/>
      <c r="F78" s="94"/>
      <c r="G78" s="94"/>
      <c r="H78" s="94"/>
      <c r="I78" s="94"/>
      <c r="J78" s="94"/>
      <c r="K78" s="94"/>
    </row>
    <row r="79" spans="1:11" x14ac:dyDescent="0.2">
      <c r="A79" s="94"/>
      <c r="B79" s="95">
        <v>73</v>
      </c>
      <c r="C79" s="100">
        <f>21600*E2</f>
        <v>21600</v>
      </c>
      <c r="D79" s="94"/>
      <c r="E79" s="94"/>
      <c r="F79" s="94"/>
      <c r="G79" s="94"/>
      <c r="H79" s="94"/>
      <c r="I79" s="94"/>
      <c r="J79" s="94"/>
      <c r="K79" s="94"/>
    </row>
    <row r="80" spans="1:11" x14ac:dyDescent="0.2">
      <c r="A80" s="94"/>
      <c r="B80" s="95">
        <v>74</v>
      </c>
      <c r="C80" s="100">
        <f>21800*E2</f>
        <v>21800</v>
      </c>
      <c r="D80" s="94"/>
      <c r="E80" s="94"/>
      <c r="F80" s="94"/>
      <c r="G80" s="94"/>
      <c r="H80" s="94"/>
      <c r="I80" s="94"/>
      <c r="J80" s="94"/>
      <c r="K80" s="94"/>
    </row>
    <row r="81" spans="1:11" x14ac:dyDescent="0.2">
      <c r="A81" s="94"/>
      <c r="B81" s="95">
        <v>75</v>
      </c>
      <c r="C81" s="101">
        <f>22000*E2</f>
        <v>22000</v>
      </c>
      <c r="D81" s="94"/>
      <c r="E81" s="94"/>
      <c r="F81" s="94"/>
      <c r="G81" s="94"/>
      <c r="H81" s="94"/>
      <c r="I81" s="94"/>
      <c r="J81" s="94"/>
      <c r="K81" s="94"/>
    </row>
    <row r="82" spans="1:11" x14ac:dyDescent="0.2">
      <c r="A82" s="94"/>
      <c r="B82" s="95">
        <v>76</v>
      </c>
      <c r="C82" s="100">
        <f>22200*E2</f>
        <v>22200</v>
      </c>
      <c r="D82" s="94"/>
      <c r="E82" s="94"/>
      <c r="F82" s="94"/>
      <c r="G82" s="94"/>
      <c r="H82" s="94"/>
      <c r="I82" s="94"/>
      <c r="J82" s="94"/>
      <c r="K82" s="94"/>
    </row>
    <row r="83" spans="1:11" x14ac:dyDescent="0.2">
      <c r="A83" s="94"/>
      <c r="B83" s="95">
        <v>77</v>
      </c>
      <c r="C83" s="100">
        <f>22400*E2</f>
        <v>22400</v>
      </c>
      <c r="D83" s="94"/>
      <c r="E83" s="94"/>
      <c r="F83" s="94"/>
      <c r="G83" s="94"/>
      <c r="H83" s="94"/>
      <c r="I83" s="94"/>
      <c r="J83" s="94"/>
      <c r="K83" s="94"/>
    </row>
    <row r="84" spans="1:11" x14ac:dyDescent="0.2">
      <c r="A84" s="94"/>
      <c r="B84" s="95">
        <v>78</v>
      </c>
      <c r="C84" s="100">
        <f>22600*E2</f>
        <v>22600</v>
      </c>
      <c r="D84" s="94"/>
      <c r="E84" s="94"/>
      <c r="F84" s="94"/>
      <c r="G84" s="94"/>
      <c r="H84" s="94"/>
      <c r="I84" s="94"/>
      <c r="J84" s="94"/>
      <c r="K84" s="94"/>
    </row>
    <row r="85" spans="1:11" x14ac:dyDescent="0.2">
      <c r="A85" s="94"/>
      <c r="B85" s="95">
        <v>79</v>
      </c>
      <c r="C85" s="100">
        <f>22800*E2</f>
        <v>22800</v>
      </c>
      <c r="D85" s="94"/>
      <c r="E85" s="94"/>
      <c r="F85" s="94"/>
      <c r="G85" s="94"/>
      <c r="H85" s="94"/>
      <c r="I85" s="94"/>
      <c r="J85" s="94"/>
      <c r="K85" s="94"/>
    </row>
    <row r="86" spans="1:11" x14ac:dyDescent="0.2">
      <c r="A86" s="94"/>
      <c r="B86" s="95">
        <v>80</v>
      </c>
      <c r="C86" s="101">
        <f>23000*E2</f>
        <v>23000</v>
      </c>
      <c r="D86" s="94"/>
      <c r="E86" s="94"/>
      <c r="F86" s="94"/>
      <c r="G86" s="94"/>
      <c r="H86" s="94"/>
      <c r="I86" s="94"/>
      <c r="J86" s="94"/>
      <c r="K86" s="94"/>
    </row>
    <row r="87" spans="1:11" x14ac:dyDescent="0.2">
      <c r="A87" s="94"/>
      <c r="B87" s="95">
        <v>81</v>
      </c>
      <c r="C87" s="100">
        <f>23200*E2</f>
        <v>23200</v>
      </c>
      <c r="D87" s="94"/>
      <c r="E87" s="94"/>
      <c r="F87" s="94"/>
      <c r="G87" s="94"/>
      <c r="H87" s="94"/>
      <c r="I87" s="94"/>
      <c r="J87" s="94"/>
      <c r="K87" s="94"/>
    </row>
    <row r="88" spans="1:11" x14ac:dyDescent="0.2">
      <c r="A88" s="94"/>
      <c r="B88" s="95">
        <v>82</v>
      </c>
      <c r="C88" s="100">
        <f>23400*E2</f>
        <v>23400</v>
      </c>
      <c r="D88" s="94"/>
      <c r="E88" s="94"/>
      <c r="F88" s="94"/>
      <c r="G88" s="94"/>
      <c r="H88" s="94"/>
      <c r="I88" s="94"/>
      <c r="J88" s="94"/>
      <c r="K88" s="94"/>
    </row>
    <row r="89" spans="1:11" x14ac:dyDescent="0.2">
      <c r="A89" s="94"/>
      <c r="B89" s="95">
        <v>83</v>
      </c>
      <c r="C89" s="100">
        <f>23600*E2</f>
        <v>23600</v>
      </c>
      <c r="D89" s="94"/>
      <c r="E89" s="94"/>
      <c r="F89" s="94"/>
      <c r="G89" s="94"/>
      <c r="H89" s="94"/>
      <c r="I89" s="94"/>
      <c r="J89" s="94"/>
      <c r="K89" s="94"/>
    </row>
    <row r="90" spans="1:11" x14ac:dyDescent="0.2">
      <c r="A90" s="94"/>
      <c r="B90" s="95">
        <v>84</v>
      </c>
      <c r="C90" s="100">
        <f>23800*E2</f>
        <v>23800</v>
      </c>
      <c r="D90" s="94"/>
      <c r="E90" s="94"/>
      <c r="F90" s="94"/>
      <c r="G90" s="94"/>
      <c r="H90" s="94"/>
      <c r="I90" s="94"/>
      <c r="J90" s="94"/>
      <c r="K90" s="94"/>
    </row>
    <row r="91" spans="1:11" x14ac:dyDescent="0.2">
      <c r="A91" s="94"/>
      <c r="B91" s="95">
        <v>85</v>
      </c>
      <c r="C91" s="101">
        <f>24000*E2</f>
        <v>24000</v>
      </c>
      <c r="D91" s="94"/>
      <c r="E91" s="94"/>
      <c r="F91" s="94"/>
      <c r="G91" s="94"/>
      <c r="H91" s="94"/>
      <c r="I91" s="94"/>
      <c r="J91" s="94"/>
      <c r="K91" s="94"/>
    </row>
    <row r="92" spans="1:11" x14ac:dyDescent="0.2">
      <c r="A92" s="94"/>
      <c r="B92" s="95">
        <v>86</v>
      </c>
      <c r="C92" s="100">
        <f>24200*E2</f>
        <v>24200</v>
      </c>
      <c r="D92" s="94"/>
      <c r="E92" s="94"/>
      <c r="F92" s="94"/>
      <c r="G92" s="94"/>
      <c r="H92" s="94"/>
      <c r="I92" s="94"/>
      <c r="J92" s="94"/>
      <c r="K92" s="94"/>
    </row>
    <row r="93" spans="1:11" x14ac:dyDescent="0.2">
      <c r="A93" s="94"/>
      <c r="B93" s="95">
        <v>87</v>
      </c>
      <c r="C93" s="100">
        <f>24400*E2</f>
        <v>24400</v>
      </c>
      <c r="D93" s="94"/>
      <c r="E93" s="94"/>
      <c r="F93" s="94"/>
      <c r="G93" s="94"/>
      <c r="H93" s="94"/>
      <c r="I93" s="94"/>
      <c r="J93" s="94"/>
      <c r="K93" s="94"/>
    </row>
    <row r="94" spans="1:11" x14ac:dyDescent="0.2">
      <c r="A94" s="94"/>
      <c r="B94" s="95">
        <v>88</v>
      </c>
      <c r="C94" s="100">
        <f>24600*E2</f>
        <v>24600</v>
      </c>
      <c r="D94" s="94"/>
      <c r="E94" s="94"/>
      <c r="F94" s="94"/>
      <c r="G94" s="94"/>
      <c r="H94" s="94"/>
      <c r="I94" s="94"/>
      <c r="J94" s="94"/>
      <c r="K94" s="94"/>
    </row>
    <row r="95" spans="1:11" x14ac:dyDescent="0.2">
      <c r="A95" s="94"/>
      <c r="B95" s="95">
        <v>89</v>
      </c>
      <c r="C95" s="100">
        <f>24800*E2</f>
        <v>24800</v>
      </c>
      <c r="D95" s="94"/>
      <c r="E95" s="94"/>
      <c r="F95" s="94"/>
      <c r="G95" s="94"/>
      <c r="H95" s="94"/>
      <c r="I95" s="94"/>
      <c r="J95" s="94"/>
      <c r="K95" s="94"/>
    </row>
    <row r="96" spans="1:11" x14ac:dyDescent="0.2">
      <c r="A96" s="94"/>
      <c r="B96" s="95">
        <v>90</v>
      </c>
      <c r="C96" s="101">
        <f>25000*E2</f>
        <v>25000</v>
      </c>
      <c r="D96" s="94"/>
      <c r="E96" s="94"/>
      <c r="F96" s="94"/>
      <c r="G96" s="94"/>
      <c r="H96" s="94"/>
      <c r="I96" s="94"/>
      <c r="J96" s="94"/>
      <c r="K96" s="94"/>
    </row>
    <row r="97" spans="1:11" x14ac:dyDescent="0.2">
      <c r="A97" s="94"/>
      <c r="B97" s="95">
        <v>91</v>
      </c>
      <c r="C97" s="100">
        <f>25200*E2</f>
        <v>25200</v>
      </c>
      <c r="D97" s="94"/>
      <c r="E97" s="94"/>
      <c r="F97" s="94"/>
      <c r="G97" s="94"/>
      <c r="H97" s="94"/>
      <c r="I97" s="94"/>
      <c r="J97" s="94"/>
      <c r="K97" s="94"/>
    </row>
    <row r="98" spans="1:11" x14ac:dyDescent="0.2">
      <c r="A98" s="94"/>
      <c r="B98" s="95">
        <v>92</v>
      </c>
      <c r="C98" s="100">
        <f>25400*E2</f>
        <v>25400</v>
      </c>
      <c r="D98" s="94"/>
      <c r="E98" s="94"/>
      <c r="F98" s="94"/>
      <c r="G98" s="94"/>
      <c r="H98" s="94"/>
      <c r="I98" s="94"/>
      <c r="J98" s="94"/>
      <c r="K98" s="94"/>
    </row>
    <row r="99" spans="1:11" x14ac:dyDescent="0.2">
      <c r="A99" s="94"/>
      <c r="B99" s="95">
        <v>93</v>
      </c>
      <c r="C99" s="100">
        <f>25600*E2</f>
        <v>25600</v>
      </c>
      <c r="D99" s="94"/>
      <c r="E99" s="94"/>
      <c r="F99" s="94"/>
      <c r="G99" s="94"/>
      <c r="H99" s="94"/>
      <c r="I99" s="94"/>
      <c r="J99" s="94"/>
      <c r="K99" s="94"/>
    </row>
    <row r="100" spans="1:11" x14ac:dyDescent="0.2">
      <c r="A100" s="94"/>
      <c r="B100" s="95">
        <v>94</v>
      </c>
      <c r="C100" s="100">
        <f>25800*E2</f>
        <v>25800</v>
      </c>
      <c r="D100" s="94"/>
      <c r="E100" s="94"/>
      <c r="F100" s="94"/>
      <c r="G100" s="94"/>
      <c r="H100" s="94"/>
      <c r="I100" s="94"/>
      <c r="J100" s="94"/>
      <c r="K100" s="94"/>
    </row>
    <row r="101" spans="1:11" x14ac:dyDescent="0.2">
      <c r="A101" s="94"/>
      <c r="B101" s="95">
        <v>95</v>
      </c>
      <c r="C101" s="101">
        <f>26000*E2</f>
        <v>26000</v>
      </c>
      <c r="D101" s="94"/>
      <c r="E101" s="94"/>
      <c r="F101" s="94"/>
      <c r="G101" s="94"/>
      <c r="H101" s="94"/>
      <c r="I101" s="94"/>
      <c r="J101" s="94"/>
      <c r="K101" s="94"/>
    </row>
    <row r="102" spans="1:11" x14ac:dyDescent="0.2">
      <c r="A102" s="94"/>
      <c r="B102" s="95">
        <v>96</v>
      </c>
      <c r="C102" s="100">
        <f>26200*E2</f>
        <v>26200</v>
      </c>
      <c r="D102" s="94"/>
      <c r="E102" s="94"/>
      <c r="F102" s="94"/>
      <c r="G102" s="94"/>
      <c r="H102" s="94"/>
      <c r="I102" s="94"/>
      <c r="J102" s="94"/>
      <c r="K102" s="94"/>
    </row>
    <row r="103" spans="1:11" x14ac:dyDescent="0.2">
      <c r="A103" s="94"/>
      <c r="B103" s="95">
        <v>97</v>
      </c>
      <c r="C103" s="100">
        <f>26400*E2</f>
        <v>26400</v>
      </c>
      <c r="D103" s="94"/>
      <c r="E103" s="94"/>
      <c r="F103" s="94"/>
      <c r="G103" s="94"/>
      <c r="H103" s="94"/>
      <c r="I103" s="94"/>
      <c r="J103" s="94"/>
      <c r="K103" s="94"/>
    </row>
    <row r="104" spans="1:11" x14ac:dyDescent="0.2">
      <c r="A104" s="94"/>
      <c r="B104" s="95">
        <v>98</v>
      </c>
      <c r="C104" s="100">
        <f>26600*E2</f>
        <v>26600</v>
      </c>
      <c r="D104" s="94"/>
      <c r="E104" s="94"/>
      <c r="F104" s="94"/>
      <c r="G104" s="94"/>
      <c r="H104" s="94"/>
      <c r="I104" s="94"/>
      <c r="J104" s="94"/>
      <c r="K104" s="94"/>
    </row>
    <row r="105" spans="1:11" x14ac:dyDescent="0.2">
      <c r="A105" s="94"/>
      <c r="B105" s="95">
        <v>99</v>
      </c>
      <c r="C105" s="100">
        <f>26800*E2</f>
        <v>26800</v>
      </c>
      <c r="D105" s="94"/>
      <c r="E105" s="94"/>
      <c r="F105" s="94"/>
      <c r="G105" s="94"/>
      <c r="H105" s="94"/>
      <c r="I105" s="94"/>
      <c r="J105" s="94"/>
      <c r="K105" s="94"/>
    </row>
    <row r="106" spans="1:11" x14ac:dyDescent="0.2">
      <c r="A106" s="94"/>
      <c r="B106" s="95">
        <v>100</v>
      </c>
      <c r="C106" s="101">
        <f>27000*E2</f>
        <v>27000</v>
      </c>
      <c r="D106" s="94"/>
      <c r="E106" s="94"/>
      <c r="F106" s="94"/>
      <c r="G106" s="94"/>
      <c r="H106" s="94"/>
      <c r="I106" s="94"/>
      <c r="J106" s="94"/>
      <c r="K106" s="94"/>
    </row>
    <row r="107" spans="1:11" x14ac:dyDescent="0.2">
      <c r="A107" s="94"/>
      <c r="B107" s="95">
        <v>101</v>
      </c>
      <c r="C107" s="100">
        <f>27150*E2</f>
        <v>27150</v>
      </c>
      <c r="D107" s="94"/>
      <c r="E107" s="94"/>
      <c r="F107" s="94"/>
      <c r="G107" s="94"/>
      <c r="H107" s="94"/>
      <c r="I107" s="94"/>
      <c r="J107" s="94"/>
      <c r="K107" s="94"/>
    </row>
    <row r="108" spans="1:11" x14ac:dyDescent="0.2">
      <c r="A108" s="94"/>
      <c r="B108" s="95">
        <v>102</v>
      </c>
      <c r="C108" s="100">
        <f>27300*E2</f>
        <v>27300</v>
      </c>
      <c r="D108" s="94"/>
      <c r="E108" s="94"/>
      <c r="F108" s="94"/>
      <c r="G108" s="94"/>
      <c r="H108" s="94"/>
      <c r="I108" s="94"/>
      <c r="J108" s="94"/>
      <c r="K108" s="94"/>
    </row>
    <row r="109" spans="1:11" x14ac:dyDescent="0.2">
      <c r="A109" s="94"/>
      <c r="B109" s="95">
        <v>103</v>
      </c>
      <c r="C109" s="100">
        <f>27450*E2</f>
        <v>27450</v>
      </c>
      <c r="D109" s="94"/>
      <c r="E109" s="94"/>
      <c r="F109" s="94"/>
      <c r="G109" s="94"/>
      <c r="H109" s="94"/>
      <c r="I109" s="94"/>
      <c r="J109" s="94"/>
      <c r="K109" s="94"/>
    </row>
    <row r="110" spans="1:11" x14ac:dyDescent="0.2">
      <c r="A110" s="94"/>
      <c r="B110" s="95">
        <v>104</v>
      </c>
      <c r="C110" s="100">
        <f>27600*E2</f>
        <v>27600</v>
      </c>
      <c r="D110" s="94"/>
      <c r="E110" s="94"/>
      <c r="F110" s="94"/>
      <c r="G110" s="94"/>
      <c r="H110" s="94"/>
      <c r="I110" s="94"/>
      <c r="J110" s="94"/>
      <c r="K110" s="94"/>
    </row>
    <row r="111" spans="1:11" x14ac:dyDescent="0.2">
      <c r="A111" s="94"/>
      <c r="B111" s="95">
        <v>105</v>
      </c>
      <c r="C111" s="101">
        <f>27750*E2</f>
        <v>27750</v>
      </c>
      <c r="D111" s="94"/>
      <c r="E111" s="94"/>
      <c r="F111" s="94"/>
      <c r="G111" s="94"/>
      <c r="H111" s="94"/>
      <c r="I111" s="94"/>
      <c r="J111" s="94"/>
      <c r="K111" s="94"/>
    </row>
    <row r="112" spans="1:11" x14ac:dyDescent="0.2">
      <c r="A112" s="94"/>
      <c r="B112" s="95">
        <v>106</v>
      </c>
      <c r="C112" s="100">
        <f>27900*E2</f>
        <v>27900</v>
      </c>
      <c r="D112" s="94"/>
      <c r="E112" s="94"/>
      <c r="F112" s="94"/>
      <c r="G112" s="94"/>
      <c r="H112" s="94"/>
      <c r="I112" s="94"/>
      <c r="J112" s="94"/>
      <c r="K112" s="94"/>
    </row>
    <row r="113" spans="1:11" x14ac:dyDescent="0.2">
      <c r="A113" s="94"/>
      <c r="B113" s="95">
        <v>107</v>
      </c>
      <c r="C113" s="100">
        <f>28050*E2</f>
        <v>28050</v>
      </c>
      <c r="D113" s="94"/>
      <c r="E113" s="94"/>
      <c r="F113" s="94"/>
      <c r="G113" s="94"/>
      <c r="H113" s="94"/>
      <c r="I113" s="94"/>
      <c r="J113" s="94"/>
      <c r="K113" s="94"/>
    </row>
    <row r="114" spans="1:11" x14ac:dyDescent="0.2">
      <c r="A114" s="94"/>
      <c r="B114" s="95">
        <v>108</v>
      </c>
      <c r="C114" s="100">
        <f>28200*E2</f>
        <v>28200</v>
      </c>
      <c r="D114" s="94"/>
      <c r="E114" s="94"/>
      <c r="F114" s="94"/>
      <c r="G114" s="94"/>
      <c r="H114" s="94"/>
      <c r="I114" s="94"/>
      <c r="J114" s="94"/>
      <c r="K114" s="94"/>
    </row>
    <row r="115" spans="1:11" x14ac:dyDescent="0.2">
      <c r="A115" s="94"/>
      <c r="B115" s="95">
        <v>109</v>
      </c>
      <c r="C115" s="100">
        <f>28350*E2</f>
        <v>28350</v>
      </c>
      <c r="D115" s="94"/>
      <c r="E115" s="94"/>
      <c r="F115" s="94"/>
      <c r="G115" s="94"/>
      <c r="H115" s="94"/>
      <c r="I115" s="94"/>
      <c r="J115" s="94"/>
      <c r="K115" s="94"/>
    </row>
    <row r="116" spans="1:11" x14ac:dyDescent="0.2">
      <c r="A116" s="94"/>
      <c r="B116" s="95">
        <v>110</v>
      </c>
      <c r="C116" s="101">
        <f>28500*E2</f>
        <v>28500</v>
      </c>
      <c r="D116" s="94"/>
      <c r="E116" s="94"/>
      <c r="F116" s="94"/>
      <c r="G116" s="94"/>
      <c r="H116" s="94"/>
      <c r="I116" s="94"/>
      <c r="J116" s="94"/>
      <c r="K116" s="94"/>
    </row>
    <row r="117" spans="1:11" x14ac:dyDescent="0.2">
      <c r="A117" s="94"/>
      <c r="B117" s="95">
        <v>111</v>
      </c>
      <c r="C117" s="100">
        <f>28650*E2</f>
        <v>28650</v>
      </c>
      <c r="D117" s="94"/>
      <c r="E117" s="94"/>
      <c r="F117" s="94"/>
      <c r="G117" s="94"/>
      <c r="H117" s="94"/>
      <c r="I117" s="94"/>
      <c r="J117" s="94"/>
      <c r="K117" s="94"/>
    </row>
    <row r="118" spans="1:11" x14ac:dyDescent="0.2">
      <c r="A118" s="94"/>
      <c r="B118" s="95">
        <v>112</v>
      </c>
      <c r="C118" s="100">
        <f>28800*E2</f>
        <v>28800</v>
      </c>
      <c r="D118" s="94"/>
      <c r="E118" s="94"/>
      <c r="F118" s="94"/>
      <c r="G118" s="94"/>
      <c r="H118" s="94"/>
      <c r="I118" s="94"/>
      <c r="J118" s="94"/>
      <c r="K118" s="94"/>
    </row>
    <row r="119" spans="1:11" x14ac:dyDescent="0.2">
      <c r="A119" s="94"/>
      <c r="B119" s="95">
        <v>113</v>
      </c>
      <c r="C119" s="100">
        <f>28950*E2</f>
        <v>28950</v>
      </c>
      <c r="D119" s="94"/>
      <c r="E119" s="94"/>
      <c r="F119" s="94"/>
      <c r="G119" s="94"/>
      <c r="H119" s="94"/>
      <c r="I119" s="94"/>
      <c r="J119" s="94"/>
      <c r="K119" s="94"/>
    </row>
    <row r="120" spans="1:11" x14ac:dyDescent="0.2">
      <c r="A120" s="94"/>
      <c r="B120" s="95">
        <v>114</v>
      </c>
      <c r="C120" s="100">
        <f>29100*E2</f>
        <v>29100</v>
      </c>
      <c r="D120" s="94"/>
      <c r="E120" s="94"/>
      <c r="F120" s="94"/>
      <c r="G120" s="94"/>
      <c r="H120" s="94"/>
      <c r="I120" s="94"/>
      <c r="J120" s="94"/>
      <c r="K120" s="94"/>
    </row>
    <row r="121" spans="1:11" x14ac:dyDescent="0.2">
      <c r="A121" s="94"/>
      <c r="B121" s="95">
        <v>115</v>
      </c>
      <c r="C121" s="101">
        <f>29250*E2</f>
        <v>29250</v>
      </c>
      <c r="D121" s="94"/>
      <c r="E121" s="94"/>
      <c r="F121" s="94"/>
      <c r="G121" s="94"/>
      <c r="H121" s="94"/>
      <c r="I121" s="94"/>
      <c r="J121" s="94"/>
      <c r="K121" s="94"/>
    </row>
    <row r="122" spans="1:11" x14ac:dyDescent="0.2">
      <c r="A122" s="94"/>
      <c r="B122" s="95">
        <v>116</v>
      </c>
      <c r="C122" s="100">
        <f>29400*E2</f>
        <v>29400</v>
      </c>
      <c r="D122" s="94"/>
      <c r="E122" s="94"/>
      <c r="F122" s="94"/>
      <c r="G122" s="94"/>
      <c r="H122" s="94"/>
      <c r="I122" s="94"/>
      <c r="J122" s="94"/>
      <c r="K122" s="94"/>
    </row>
    <row r="123" spans="1:11" x14ac:dyDescent="0.2">
      <c r="A123" s="94"/>
      <c r="B123" s="95">
        <v>117</v>
      </c>
      <c r="C123" s="100">
        <f>29550*E2</f>
        <v>29550</v>
      </c>
      <c r="D123" s="94"/>
      <c r="E123" s="94"/>
      <c r="F123" s="94"/>
      <c r="G123" s="94"/>
      <c r="H123" s="94"/>
      <c r="I123" s="94"/>
      <c r="J123" s="94"/>
      <c r="K123" s="94"/>
    </row>
    <row r="124" spans="1:11" x14ac:dyDescent="0.2">
      <c r="A124" s="94"/>
      <c r="B124" s="95">
        <v>118</v>
      </c>
      <c r="C124" s="100">
        <f>29700*E2</f>
        <v>29700</v>
      </c>
      <c r="D124" s="94"/>
      <c r="E124" s="94"/>
      <c r="F124" s="94"/>
      <c r="G124" s="94"/>
      <c r="H124" s="94"/>
      <c r="I124" s="94"/>
      <c r="J124" s="94"/>
      <c r="K124" s="94"/>
    </row>
    <row r="125" spans="1:11" x14ac:dyDescent="0.2">
      <c r="A125" s="94"/>
      <c r="B125" s="95">
        <v>119</v>
      </c>
      <c r="C125" s="100">
        <f>29850*E2</f>
        <v>29850</v>
      </c>
      <c r="D125" s="94"/>
      <c r="E125" s="94"/>
      <c r="F125" s="94"/>
      <c r="G125" s="94"/>
      <c r="H125" s="94"/>
      <c r="I125" s="94"/>
      <c r="J125" s="94"/>
      <c r="K125" s="94"/>
    </row>
    <row r="126" spans="1:11" x14ac:dyDescent="0.2">
      <c r="A126" s="94"/>
      <c r="B126" s="95">
        <v>120</v>
      </c>
      <c r="C126" s="101">
        <f>30000*E2</f>
        <v>30000</v>
      </c>
      <c r="D126" s="94"/>
      <c r="E126" s="94"/>
      <c r="F126" s="94"/>
      <c r="G126" s="94"/>
      <c r="H126" s="94"/>
      <c r="I126" s="94"/>
      <c r="J126" s="94"/>
      <c r="K126" s="94"/>
    </row>
    <row r="127" spans="1:11" x14ac:dyDescent="0.2">
      <c r="A127" s="94"/>
      <c r="B127" s="95">
        <v>121</v>
      </c>
      <c r="C127" s="100">
        <f>30150*E2</f>
        <v>30150</v>
      </c>
      <c r="D127" s="94"/>
      <c r="E127" s="94"/>
      <c r="F127" s="94"/>
      <c r="G127" s="94"/>
      <c r="H127" s="94"/>
      <c r="I127" s="94"/>
      <c r="J127" s="94"/>
      <c r="K127" s="94"/>
    </row>
    <row r="128" spans="1:11" x14ac:dyDescent="0.2">
      <c r="A128" s="94"/>
      <c r="B128" s="95">
        <v>122</v>
      </c>
      <c r="C128" s="100">
        <f>30300*E2</f>
        <v>30300</v>
      </c>
      <c r="D128" s="94"/>
      <c r="E128" s="94"/>
      <c r="F128" s="94"/>
      <c r="G128" s="94"/>
      <c r="H128" s="94"/>
      <c r="I128" s="94"/>
      <c r="J128" s="94"/>
      <c r="K128" s="94"/>
    </row>
    <row r="129" spans="1:11" x14ac:dyDescent="0.2">
      <c r="A129" s="94"/>
      <c r="B129" s="95">
        <v>123</v>
      </c>
      <c r="C129" s="100">
        <f>30450*E2</f>
        <v>30450</v>
      </c>
      <c r="D129" s="94"/>
      <c r="E129" s="94"/>
      <c r="F129" s="94"/>
      <c r="G129" s="94"/>
      <c r="H129" s="94"/>
      <c r="I129" s="94"/>
      <c r="J129" s="94"/>
      <c r="K129" s="94"/>
    </row>
    <row r="130" spans="1:11" x14ac:dyDescent="0.2">
      <c r="A130" s="94"/>
      <c r="B130" s="95">
        <v>124</v>
      </c>
      <c r="C130" s="100">
        <f>30600*E2</f>
        <v>30600</v>
      </c>
      <c r="D130" s="94"/>
      <c r="E130" s="94"/>
      <c r="F130" s="94"/>
      <c r="G130" s="94"/>
      <c r="H130" s="94"/>
      <c r="I130" s="94"/>
      <c r="J130" s="94"/>
      <c r="K130" s="94"/>
    </row>
    <row r="131" spans="1:11" x14ac:dyDescent="0.2">
      <c r="A131" s="94"/>
      <c r="B131" s="95">
        <v>125</v>
      </c>
      <c r="C131" s="101">
        <f>30750*E2</f>
        <v>30750</v>
      </c>
      <c r="D131" s="94"/>
      <c r="E131" s="94"/>
      <c r="F131" s="94"/>
      <c r="G131" s="94"/>
      <c r="H131" s="94"/>
      <c r="I131" s="94"/>
      <c r="J131" s="94"/>
      <c r="K131" s="94"/>
    </row>
    <row r="132" spans="1:11" x14ac:dyDescent="0.2">
      <c r="A132" s="94"/>
      <c r="B132" s="95">
        <v>126</v>
      </c>
      <c r="C132" s="100">
        <f>30900*E2</f>
        <v>30900</v>
      </c>
      <c r="D132" s="94"/>
      <c r="E132" s="94"/>
      <c r="F132" s="94"/>
      <c r="G132" s="94"/>
      <c r="H132" s="94"/>
      <c r="I132" s="94"/>
      <c r="J132" s="94"/>
      <c r="K132" s="94"/>
    </row>
    <row r="133" spans="1:11" x14ac:dyDescent="0.2">
      <c r="A133" s="94"/>
      <c r="B133" s="95">
        <v>127</v>
      </c>
      <c r="C133" s="100">
        <f>31050*E2</f>
        <v>31050</v>
      </c>
      <c r="D133" s="94"/>
      <c r="E133" s="94"/>
      <c r="F133" s="94"/>
      <c r="G133" s="94"/>
      <c r="H133" s="94"/>
      <c r="I133" s="94"/>
      <c r="J133" s="94"/>
      <c r="K133" s="94"/>
    </row>
    <row r="134" spans="1:11" x14ac:dyDescent="0.2">
      <c r="A134" s="94"/>
      <c r="B134" s="95">
        <v>128</v>
      </c>
      <c r="C134" s="100">
        <f>31200*E2</f>
        <v>31200</v>
      </c>
      <c r="D134" s="94"/>
      <c r="E134" s="94"/>
      <c r="F134" s="94"/>
      <c r="G134" s="94"/>
      <c r="H134" s="94"/>
      <c r="I134" s="94"/>
      <c r="J134" s="94"/>
      <c r="K134" s="94"/>
    </row>
    <row r="135" spans="1:11" x14ac:dyDescent="0.2">
      <c r="A135" s="94"/>
      <c r="B135" s="95">
        <v>129</v>
      </c>
      <c r="C135" s="100">
        <f>31350*E2</f>
        <v>31350</v>
      </c>
      <c r="D135" s="94"/>
      <c r="E135" s="94"/>
      <c r="F135" s="94"/>
      <c r="G135" s="94"/>
      <c r="H135" s="94"/>
      <c r="I135" s="94"/>
      <c r="J135" s="94"/>
      <c r="K135" s="94"/>
    </row>
    <row r="136" spans="1:11" x14ac:dyDescent="0.2">
      <c r="A136" s="94"/>
      <c r="B136" s="95">
        <v>130</v>
      </c>
      <c r="C136" s="101">
        <f>31500*E2</f>
        <v>31500</v>
      </c>
      <c r="D136" s="94"/>
      <c r="E136" s="94"/>
      <c r="F136" s="94"/>
      <c r="G136" s="94"/>
      <c r="H136" s="94"/>
      <c r="I136" s="94"/>
      <c r="J136" s="94"/>
      <c r="K136" s="94"/>
    </row>
    <row r="137" spans="1:11" x14ac:dyDescent="0.2">
      <c r="A137" s="94"/>
      <c r="B137" s="95">
        <v>131</v>
      </c>
      <c r="C137" s="100">
        <f>31650*E2</f>
        <v>31650</v>
      </c>
      <c r="D137" s="94"/>
      <c r="E137" s="94"/>
      <c r="F137" s="94"/>
      <c r="G137" s="94"/>
      <c r="H137" s="94"/>
      <c r="I137" s="94"/>
      <c r="J137" s="94"/>
      <c r="K137" s="94"/>
    </row>
    <row r="138" spans="1:11" x14ac:dyDescent="0.2">
      <c r="A138" s="94"/>
      <c r="B138" s="95">
        <v>132</v>
      </c>
      <c r="C138" s="100">
        <f>31800*E2</f>
        <v>31800</v>
      </c>
      <c r="D138" s="94"/>
      <c r="E138" s="94"/>
      <c r="F138" s="94"/>
      <c r="G138" s="94"/>
      <c r="H138" s="94"/>
      <c r="I138" s="94"/>
      <c r="J138" s="94"/>
      <c r="K138" s="94"/>
    </row>
    <row r="139" spans="1:11" x14ac:dyDescent="0.2">
      <c r="A139" s="94"/>
      <c r="B139" s="95">
        <v>133</v>
      </c>
      <c r="C139" s="100">
        <f>31950*E2</f>
        <v>31950</v>
      </c>
      <c r="D139" s="94"/>
      <c r="E139" s="94"/>
      <c r="F139" s="94"/>
      <c r="G139" s="94"/>
      <c r="H139" s="94"/>
      <c r="I139" s="94"/>
      <c r="J139" s="94"/>
      <c r="K139" s="94"/>
    </row>
    <row r="140" spans="1:11" x14ac:dyDescent="0.2">
      <c r="A140" s="94"/>
      <c r="B140" s="95">
        <v>134</v>
      </c>
      <c r="C140" s="100">
        <f>32100*E2</f>
        <v>32100</v>
      </c>
      <c r="D140" s="94"/>
      <c r="E140" s="94"/>
      <c r="F140" s="94"/>
      <c r="G140" s="94"/>
      <c r="H140" s="94"/>
      <c r="I140" s="94"/>
      <c r="J140" s="94"/>
      <c r="K140" s="94"/>
    </row>
    <row r="141" spans="1:11" x14ac:dyDescent="0.2">
      <c r="A141" s="94"/>
      <c r="B141" s="95">
        <v>135</v>
      </c>
      <c r="C141" s="101">
        <f>32250*E2</f>
        <v>32250</v>
      </c>
      <c r="D141" s="94"/>
      <c r="E141" s="94"/>
      <c r="F141" s="94"/>
      <c r="G141" s="94"/>
      <c r="H141" s="94"/>
      <c r="I141" s="94"/>
      <c r="J141" s="94"/>
      <c r="K141" s="94"/>
    </row>
    <row r="142" spans="1:11" x14ac:dyDescent="0.2">
      <c r="A142" s="94"/>
      <c r="B142" s="95">
        <v>136</v>
      </c>
      <c r="C142" s="100">
        <f>32400*E2</f>
        <v>32400</v>
      </c>
      <c r="D142" s="94"/>
      <c r="E142" s="94"/>
      <c r="F142" s="94"/>
      <c r="G142" s="94"/>
      <c r="H142" s="94"/>
      <c r="I142" s="94"/>
      <c r="J142" s="94"/>
      <c r="K142" s="94"/>
    </row>
    <row r="143" spans="1:11" x14ac:dyDescent="0.2">
      <c r="A143" s="94"/>
      <c r="B143" s="95">
        <v>137</v>
      </c>
      <c r="C143" s="100">
        <f>32550*E2</f>
        <v>32550</v>
      </c>
      <c r="D143" s="94"/>
      <c r="E143" s="94"/>
      <c r="F143" s="94"/>
      <c r="G143" s="94"/>
      <c r="H143" s="94"/>
      <c r="I143" s="94"/>
      <c r="J143" s="94"/>
      <c r="K143" s="94"/>
    </row>
    <row r="144" spans="1:11" x14ac:dyDescent="0.2">
      <c r="A144" s="94"/>
      <c r="B144" s="95">
        <v>138</v>
      </c>
      <c r="C144" s="100">
        <f>32700*E2</f>
        <v>32700</v>
      </c>
      <c r="D144" s="94"/>
      <c r="E144" s="94"/>
      <c r="F144" s="94"/>
      <c r="G144" s="94"/>
      <c r="H144" s="94"/>
      <c r="I144" s="94"/>
      <c r="J144" s="94"/>
      <c r="K144" s="94"/>
    </row>
    <row r="145" spans="1:11" x14ac:dyDescent="0.2">
      <c r="A145" s="94"/>
      <c r="B145" s="95">
        <v>139</v>
      </c>
      <c r="C145" s="100">
        <f>32850*E2</f>
        <v>32850</v>
      </c>
      <c r="D145" s="94"/>
      <c r="E145" s="94"/>
      <c r="F145" s="94"/>
      <c r="G145" s="94"/>
      <c r="H145" s="94"/>
      <c r="I145" s="94"/>
      <c r="J145" s="94"/>
      <c r="K145" s="94"/>
    </row>
    <row r="146" spans="1:11" x14ac:dyDescent="0.2">
      <c r="A146" s="94"/>
      <c r="B146" s="95">
        <v>140</v>
      </c>
      <c r="C146" s="101">
        <f>33000*E2</f>
        <v>33000</v>
      </c>
      <c r="D146" s="94"/>
      <c r="E146" s="94"/>
      <c r="F146" s="94"/>
      <c r="G146" s="94"/>
      <c r="H146" s="94"/>
      <c r="I146" s="94"/>
      <c r="J146" s="94"/>
      <c r="K146" s="94"/>
    </row>
    <row r="147" spans="1:11" x14ac:dyDescent="0.2">
      <c r="A147" s="94"/>
      <c r="B147" s="95">
        <v>141</v>
      </c>
      <c r="C147" s="100">
        <f>33150*E2</f>
        <v>33150</v>
      </c>
      <c r="D147" s="94"/>
      <c r="E147" s="94"/>
      <c r="F147" s="94"/>
      <c r="G147" s="94"/>
      <c r="H147" s="94"/>
      <c r="I147" s="94"/>
      <c r="J147" s="94"/>
      <c r="K147" s="94"/>
    </row>
    <row r="148" spans="1:11" x14ac:dyDescent="0.2">
      <c r="A148" s="94"/>
      <c r="B148" s="95">
        <v>142</v>
      </c>
      <c r="C148" s="100">
        <f>33300*E2</f>
        <v>33300</v>
      </c>
      <c r="D148" s="94"/>
      <c r="E148" s="94"/>
      <c r="F148" s="94"/>
      <c r="G148" s="94"/>
      <c r="H148" s="94"/>
      <c r="I148" s="94"/>
      <c r="J148" s="94"/>
      <c r="K148" s="94"/>
    </row>
    <row r="149" spans="1:11" x14ac:dyDescent="0.2">
      <c r="A149" s="94"/>
      <c r="B149" s="95">
        <v>143</v>
      </c>
      <c r="C149" s="100">
        <f>33450*E2</f>
        <v>33450</v>
      </c>
      <c r="D149" s="94"/>
      <c r="E149" s="94"/>
      <c r="F149" s="94"/>
      <c r="G149" s="94"/>
      <c r="H149" s="94"/>
      <c r="I149" s="94"/>
      <c r="J149" s="94"/>
      <c r="K149" s="94"/>
    </row>
    <row r="150" spans="1:11" x14ac:dyDescent="0.2">
      <c r="A150" s="94"/>
      <c r="B150" s="95">
        <v>144</v>
      </c>
      <c r="C150" s="100">
        <f>33600*E2</f>
        <v>33600</v>
      </c>
      <c r="D150" s="94"/>
      <c r="E150" s="94"/>
      <c r="F150" s="94"/>
      <c r="G150" s="94"/>
      <c r="H150" s="94"/>
      <c r="I150" s="94"/>
      <c r="J150" s="94"/>
      <c r="K150" s="94"/>
    </row>
    <row r="151" spans="1:11" x14ac:dyDescent="0.2">
      <c r="A151" s="94"/>
      <c r="B151" s="95">
        <v>145</v>
      </c>
      <c r="C151" s="101">
        <f>33750*E2</f>
        <v>33750</v>
      </c>
      <c r="D151" s="94"/>
      <c r="E151" s="94"/>
      <c r="F151" s="94"/>
      <c r="G151" s="94"/>
      <c r="H151" s="94"/>
      <c r="I151" s="94"/>
      <c r="J151" s="94"/>
      <c r="K151" s="94"/>
    </row>
    <row r="152" spans="1:11" x14ac:dyDescent="0.2">
      <c r="A152" s="94"/>
      <c r="B152" s="95">
        <v>146</v>
      </c>
      <c r="C152" s="100">
        <f>33900*E2</f>
        <v>33900</v>
      </c>
      <c r="D152" s="94"/>
      <c r="E152" s="94"/>
      <c r="F152" s="94"/>
      <c r="G152" s="94"/>
      <c r="H152" s="94"/>
      <c r="I152" s="94"/>
      <c r="J152" s="94"/>
      <c r="K152" s="94"/>
    </row>
    <row r="153" spans="1:11" x14ac:dyDescent="0.2">
      <c r="A153" s="94"/>
      <c r="B153" s="95">
        <v>147</v>
      </c>
      <c r="C153" s="100">
        <f>34050*E2</f>
        <v>34050</v>
      </c>
      <c r="D153" s="94"/>
      <c r="E153" s="94"/>
      <c r="F153" s="94"/>
      <c r="G153" s="94"/>
      <c r="H153" s="94"/>
      <c r="I153" s="94"/>
      <c r="J153" s="94"/>
      <c r="K153" s="94"/>
    </row>
    <row r="154" spans="1:11" x14ac:dyDescent="0.2">
      <c r="A154" s="94"/>
      <c r="B154" s="95">
        <v>148</v>
      </c>
      <c r="C154" s="100">
        <f>34200*E2</f>
        <v>34200</v>
      </c>
      <c r="D154" s="94"/>
      <c r="E154" s="94"/>
      <c r="F154" s="94"/>
      <c r="G154" s="94"/>
      <c r="H154" s="94"/>
      <c r="I154" s="94"/>
      <c r="J154" s="94"/>
      <c r="K154" s="94"/>
    </row>
    <row r="155" spans="1:11" x14ac:dyDescent="0.2">
      <c r="A155" s="94"/>
      <c r="B155" s="95">
        <v>149</v>
      </c>
      <c r="C155" s="100">
        <f>34350*E2</f>
        <v>34350</v>
      </c>
      <c r="D155" s="94"/>
      <c r="E155" s="94"/>
      <c r="F155" s="94"/>
      <c r="G155" s="94"/>
      <c r="H155" s="94"/>
      <c r="I155" s="94"/>
      <c r="J155" s="94"/>
      <c r="K155" s="94"/>
    </row>
    <row r="156" spans="1:11" x14ac:dyDescent="0.2">
      <c r="A156" s="94"/>
      <c r="B156" s="95">
        <v>150</v>
      </c>
      <c r="C156" s="101">
        <f>34500*E2</f>
        <v>34500</v>
      </c>
      <c r="D156" s="94"/>
      <c r="E156" s="94"/>
      <c r="F156" s="94"/>
      <c r="G156" s="94"/>
      <c r="H156" s="94"/>
      <c r="I156" s="94"/>
      <c r="J156" s="94"/>
      <c r="K156" s="94"/>
    </row>
    <row r="157" spans="1:11" x14ac:dyDescent="0.2">
      <c r="A157" s="94"/>
      <c r="B157" s="95">
        <v>151</v>
      </c>
      <c r="C157" s="100">
        <f>34650*E2</f>
        <v>34650</v>
      </c>
      <c r="D157" s="94"/>
      <c r="E157" s="94"/>
      <c r="F157" s="94"/>
      <c r="G157" s="94"/>
      <c r="H157" s="94"/>
      <c r="I157" s="94"/>
      <c r="J157" s="94"/>
      <c r="K157" s="94"/>
    </row>
    <row r="158" spans="1:11" x14ac:dyDescent="0.2">
      <c r="A158" s="94"/>
      <c r="B158" s="95">
        <v>152</v>
      </c>
      <c r="C158" s="100">
        <f>34800*E2</f>
        <v>34800</v>
      </c>
      <c r="D158" s="94"/>
      <c r="E158" s="94"/>
      <c r="F158" s="94"/>
      <c r="G158" s="94"/>
      <c r="H158" s="94"/>
      <c r="I158" s="94"/>
      <c r="J158" s="94"/>
      <c r="K158" s="94"/>
    </row>
    <row r="159" spans="1:11" x14ac:dyDescent="0.2">
      <c r="A159" s="94"/>
      <c r="B159" s="95">
        <v>153</v>
      </c>
      <c r="C159" s="100">
        <f>34950*E2</f>
        <v>34950</v>
      </c>
      <c r="D159" s="94"/>
      <c r="E159" s="94"/>
      <c r="F159" s="94"/>
      <c r="G159" s="94"/>
      <c r="H159" s="94"/>
      <c r="I159" s="94"/>
      <c r="J159" s="94"/>
      <c r="K159" s="94"/>
    </row>
    <row r="160" spans="1:11" x14ac:dyDescent="0.2">
      <c r="A160" s="94"/>
      <c r="B160" s="95">
        <v>154</v>
      </c>
      <c r="C160" s="100">
        <f>35100*E2</f>
        <v>35100</v>
      </c>
      <c r="D160" s="94"/>
      <c r="E160" s="94"/>
      <c r="F160" s="94"/>
      <c r="G160" s="94"/>
      <c r="H160" s="94"/>
      <c r="I160" s="94"/>
      <c r="J160" s="94"/>
      <c r="K160" s="94"/>
    </row>
    <row r="161" spans="1:11" x14ac:dyDescent="0.2">
      <c r="A161" s="94"/>
      <c r="B161" s="95">
        <v>155</v>
      </c>
      <c r="C161" s="101">
        <f>35250*E2</f>
        <v>35250</v>
      </c>
      <c r="D161" s="94"/>
      <c r="E161" s="94"/>
      <c r="F161" s="94"/>
      <c r="G161" s="94"/>
      <c r="H161" s="94"/>
      <c r="I161" s="94"/>
      <c r="J161" s="94"/>
      <c r="K161" s="94"/>
    </row>
    <row r="162" spans="1:11" x14ac:dyDescent="0.2">
      <c r="A162" s="94"/>
      <c r="B162" s="95">
        <v>156</v>
      </c>
      <c r="C162" s="100">
        <f>35400*E2</f>
        <v>35400</v>
      </c>
      <c r="D162" s="94"/>
      <c r="E162" s="94"/>
      <c r="F162" s="94"/>
      <c r="G162" s="94"/>
      <c r="H162" s="94"/>
      <c r="I162" s="94"/>
      <c r="J162" s="94"/>
      <c r="K162" s="94"/>
    </row>
    <row r="163" spans="1:11" x14ac:dyDescent="0.2">
      <c r="A163" s="94"/>
      <c r="B163" s="95">
        <v>157</v>
      </c>
      <c r="C163" s="100">
        <f>35550*E2</f>
        <v>35550</v>
      </c>
      <c r="D163" s="94"/>
      <c r="E163" s="94"/>
      <c r="F163" s="94"/>
      <c r="G163" s="94"/>
      <c r="H163" s="94"/>
      <c r="I163" s="94"/>
      <c r="J163" s="94"/>
      <c r="K163" s="94"/>
    </row>
    <row r="164" spans="1:11" x14ac:dyDescent="0.2">
      <c r="A164" s="94"/>
      <c r="B164" s="95">
        <v>158</v>
      </c>
      <c r="C164" s="100">
        <f>35700*E2</f>
        <v>35700</v>
      </c>
      <c r="D164" s="94"/>
      <c r="E164" s="94"/>
      <c r="F164" s="94"/>
      <c r="G164" s="94"/>
      <c r="H164" s="94"/>
      <c r="I164" s="94"/>
      <c r="J164" s="94"/>
      <c r="K164" s="94"/>
    </row>
    <row r="165" spans="1:11" x14ac:dyDescent="0.2">
      <c r="A165" s="94"/>
      <c r="B165" s="95">
        <v>159</v>
      </c>
      <c r="C165" s="100">
        <f>35850*E2</f>
        <v>35850</v>
      </c>
      <c r="D165" s="94"/>
      <c r="E165" s="94"/>
      <c r="F165" s="94"/>
      <c r="G165" s="94"/>
      <c r="H165" s="94"/>
      <c r="I165" s="94"/>
      <c r="J165" s="94"/>
      <c r="K165" s="94"/>
    </row>
    <row r="166" spans="1:11" x14ac:dyDescent="0.2">
      <c r="A166" s="94"/>
      <c r="B166" s="95">
        <v>160</v>
      </c>
      <c r="C166" s="101">
        <f>36000*E2</f>
        <v>36000</v>
      </c>
      <c r="D166" s="94"/>
      <c r="E166" s="94"/>
      <c r="F166" s="94"/>
      <c r="G166" s="94"/>
      <c r="H166" s="94"/>
      <c r="I166" s="94"/>
      <c r="J166" s="94"/>
      <c r="K166" s="94"/>
    </row>
    <row r="167" spans="1:11" x14ac:dyDescent="0.2">
      <c r="A167" s="94"/>
      <c r="B167" s="95">
        <v>161</v>
      </c>
      <c r="C167" s="106">
        <f>36150*E2</f>
        <v>36150</v>
      </c>
      <c r="D167" s="94"/>
      <c r="E167" s="94"/>
      <c r="F167" s="94"/>
      <c r="G167" s="94"/>
      <c r="H167" s="94"/>
      <c r="I167" s="94"/>
      <c r="J167" s="94"/>
      <c r="K167" s="94"/>
    </row>
    <row r="168" spans="1:11" x14ac:dyDescent="0.2">
      <c r="A168" s="94"/>
      <c r="B168" s="95">
        <v>162</v>
      </c>
      <c r="C168" s="106">
        <f>36300*E2</f>
        <v>36300</v>
      </c>
      <c r="D168" s="94"/>
      <c r="E168" s="94"/>
      <c r="F168" s="94"/>
      <c r="G168" s="94"/>
      <c r="H168" s="94"/>
      <c r="I168" s="94"/>
      <c r="J168" s="94"/>
      <c r="K168" s="94"/>
    </row>
    <row r="169" spans="1:11" x14ac:dyDescent="0.2">
      <c r="A169" s="94"/>
      <c r="B169" s="95">
        <v>163</v>
      </c>
      <c r="C169" s="100">
        <f>36450*E2</f>
        <v>36450</v>
      </c>
      <c r="D169" s="94"/>
      <c r="E169" s="94"/>
      <c r="F169" s="94"/>
      <c r="G169" s="94"/>
      <c r="H169" s="94"/>
      <c r="I169" s="94"/>
      <c r="J169" s="94"/>
      <c r="K169" s="94"/>
    </row>
    <row r="170" spans="1:11" x14ac:dyDescent="0.2">
      <c r="A170" s="94"/>
      <c r="B170" s="95">
        <v>164</v>
      </c>
      <c r="C170" s="100">
        <f>36600*E2</f>
        <v>36600</v>
      </c>
      <c r="D170" s="94"/>
      <c r="E170" s="94"/>
      <c r="F170" s="94"/>
      <c r="G170" s="94"/>
      <c r="H170" s="94"/>
      <c r="I170" s="94"/>
      <c r="J170" s="94"/>
      <c r="K170" s="94"/>
    </row>
    <row r="171" spans="1:11" x14ac:dyDescent="0.2">
      <c r="A171" s="94"/>
      <c r="B171" s="95">
        <v>165</v>
      </c>
      <c r="C171" s="101">
        <f>36750*E2</f>
        <v>36750</v>
      </c>
      <c r="D171" s="94"/>
      <c r="E171" s="94"/>
      <c r="F171" s="94"/>
      <c r="G171" s="94"/>
      <c r="H171" s="94"/>
      <c r="I171" s="94"/>
      <c r="J171" s="94"/>
      <c r="K171" s="94"/>
    </row>
    <row r="172" spans="1:11" x14ac:dyDescent="0.2">
      <c r="A172" s="94"/>
      <c r="B172" s="95">
        <v>166</v>
      </c>
      <c r="C172" s="100">
        <f>36900*E2</f>
        <v>36900</v>
      </c>
      <c r="D172" s="94"/>
      <c r="E172" s="94"/>
      <c r="F172" s="94"/>
      <c r="G172" s="94"/>
      <c r="H172" s="94"/>
      <c r="I172" s="94"/>
      <c r="J172" s="94"/>
      <c r="K172" s="94"/>
    </row>
    <row r="173" spans="1:11" x14ac:dyDescent="0.2">
      <c r="A173" s="94"/>
      <c r="B173" s="95">
        <v>167</v>
      </c>
      <c r="C173" s="100">
        <f>37050*E2</f>
        <v>37050</v>
      </c>
      <c r="D173" s="94"/>
      <c r="E173" s="94"/>
      <c r="F173" s="94"/>
      <c r="G173" s="94"/>
      <c r="H173" s="94"/>
      <c r="I173" s="94"/>
      <c r="J173" s="94"/>
      <c r="K173" s="94"/>
    </row>
    <row r="174" spans="1:11" x14ac:dyDescent="0.2">
      <c r="A174" s="94"/>
      <c r="B174" s="95">
        <v>168</v>
      </c>
      <c r="C174" s="100">
        <f>37200*E2</f>
        <v>37200</v>
      </c>
      <c r="D174" s="94"/>
      <c r="E174" s="94"/>
      <c r="F174" s="94"/>
      <c r="G174" s="94"/>
      <c r="H174" s="94"/>
      <c r="I174" s="94"/>
      <c r="J174" s="94"/>
      <c r="K174" s="94"/>
    </row>
    <row r="175" spans="1:11" x14ac:dyDescent="0.2">
      <c r="A175" s="94"/>
      <c r="B175" s="95">
        <v>169</v>
      </c>
      <c r="C175" s="100">
        <f>37350*E2</f>
        <v>37350</v>
      </c>
      <c r="D175" s="94"/>
      <c r="E175" s="94"/>
      <c r="F175" s="94"/>
      <c r="G175" s="94"/>
      <c r="H175" s="94"/>
      <c r="I175" s="94"/>
      <c r="J175" s="94"/>
      <c r="K175" s="94"/>
    </row>
    <row r="176" spans="1:11" x14ac:dyDescent="0.2">
      <c r="A176" s="94"/>
      <c r="B176" s="95">
        <v>170</v>
      </c>
      <c r="C176" s="101">
        <f>37500*E2</f>
        <v>37500</v>
      </c>
      <c r="D176" s="94"/>
      <c r="E176" s="94"/>
      <c r="F176" s="94"/>
      <c r="G176" s="94"/>
      <c r="H176" s="94"/>
      <c r="I176" s="94"/>
      <c r="J176" s="94"/>
      <c r="K176" s="94"/>
    </row>
    <row r="177" spans="1:11" x14ac:dyDescent="0.2">
      <c r="A177" s="94"/>
      <c r="B177" s="95">
        <v>171</v>
      </c>
      <c r="C177" s="100">
        <f>37650*E2</f>
        <v>37650</v>
      </c>
      <c r="D177" s="94"/>
      <c r="E177" s="94"/>
      <c r="F177" s="94"/>
      <c r="G177" s="94"/>
      <c r="H177" s="94"/>
      <c r="I177" s="94"/>
      <c r="J177" s="94"/>
      <c r="K177" s="94"/>
    </row>
    <row r="178" spans="1:11" x14ac:dyDescent="0.2">
      <c r="A178" s="94"/>
      <c r="B178" s="95">
        <v>172</v>
      </c>
      <c r="C178" s="100">
        <f>37800*E2</f>
        <v>37800</v>
      </c>
      <c r="D178" s="94"/>
      <c r="E178" s="94"/>
      <c r="F178" s="94"/>
      <c r="G178" s="94"/>
      <c r="H178" s="94"/>
      <c r="I178" s="94"/>
      <c r="J178" s="94"/>
      <c r="K178" s="94"/>
    </row>
    <row r="179" spans="1:11" x14ac:dyDescent="0.2">
      <c r="A179" s="94"/>
      <c r="B179" s="95">
        <v>173</v>
      </c>
      <c r="C179" s="100">
        <f>37950*E2</f>
        <v>37950</v>
      </c>
      <c r="D179" s="94"/>
      <c r="E179" s="94"/>
      <c r="F179" s="94"/>
      <c r="G179" s="94"/>
      <c r="H179" s="94"/>
      <c r="I179" s="94"/>
      <c r="J179" s="94"/>
      <c r="K179" s="94"/>
    </row>
    <row r="180" spans="1:11" x14ac:dyDescent="0.2">
      <c r="A180" s="94"/>
      <c r="B180" s="95">
        <v>174</v>
      </c>
      <c r="C180" s="100">
        <f>38100*E2</f>
        <v>38100</v>
      </c>
      <c r="D180" s="94"/>
      <c r="E180" s="94"/>
      <c r="F180" s="94"/>
      <c r="G180" s="94"/>
      <c r="H180" s="94"/>
      <c r="I180" s="94"/>
      <c r="J180" s="94"/>
      <c r="K180" s="94"/>
    </row>
    <row r="181" spans="1:11" x14ac:dyDescent="0.2">
      <c r="A181" s="94"/>
      <c r="B181" s="95">
        <v>175</v>
      </c>
      <c r="C181" s="101">
        <f>38250*E2</f>
        <v>38250</v>
      </c>
      <c r="D181" s="94"/>
      <c r="E181" s="94"/>
      <c r="F181" s="94"/>
      <c r="G181" s="94"/>
      <c r="H181" s="94"/>
      <c r="I181" s="94"/>
      <c r="J181" s="94"/>
      <c r="K181" s="94"/>
    </row>
    <row r="182" spans="1:11" x14ac:dyDescent="0.2">
      <c r="A182" s="94"/>
      <c r="B182" s="95">
        <v>176</v>
      </c>
      <c r="C182" s="100">
        <f>38400*E2</f>
        <v>38400</v>
      </c>
      <c r="D182" s="94"/>
      <c r="E182" s="94"/>
      <c r="F182" s="94"/>
      <c r="G182" s="94"/>
      <c r="H182" s="94"/>
      <c r="I182" s="94"/>
      <c r="J182" s="94"/>
      <c r="K182" s="94"/>
    </row>
    <row r="183" spans="1:11" x14ac:dyDescent="0.2">
      <c r="A183" s="94"/>
      <c r="B183" s="95">
        <v>177</v>
      </c>
      <c r="C183" s="100">
        <f>38550*E2</f>
        <v>38550</v>
      </c>
      <c r="D183" s="94"/>
      <c r="E183" s="94"/>
      <c r="F183" s="94"/>
      <c r="G183" s="94"/>
      <c r="H183" s="94"/>
      <c r="I183" s="94"/>
      <c r="J183" s="94"/>
      <c r="K183" s="94"/>
    </row>
    <row r="184" spans="1:11" x14ac:dyDescent="0.2">
      <c r="A184" s="94"/>
      <c r="B184" s="95">
        <v>178</v>
      </c>
      <c r="C184" s="100">
        <f>38700*E2</f>
        <v>38700</v>
      </c>
      <c r="D184" s="94"/>
      <c r="E184" s="94"/>
      <c r="F184" s="94"/>
      <c r="G184" s="94"/>
      <c r="H184" s="94"/>
      <c r="I184" s="94"/>
      <c r="J184" s="94"/>
      <c r="K184" s="94"/>
    </row>
    <row r="185" spans="1:11" x14ac:dyDescent="0.2">
      <c r="A185" s="94"/>
      <c r="B185" s="95">
        <v>179</v>
      </c>
      <c r="C185" s="100">
        <f>38850*E2</f>
        <v>38850</v>
      </c>
      <c r="D185" s="94"/>
      <c r="E185" s="94"/>
      <c r="F185" s="94"/>
      <c r="G185" s="94"/>
      <c r="H185" s="94"/>
      <c r="I185" s="94"/>
      <c r="J185" s="94"/>
      <c r="K185" s="94"/>
    </row>
    <row r="186" spans="1:11" x14ac:dyDescent="0.2">
      <c r="A186" s="94"/>
      <c r="B186" s="95">
        <v>180</v>
      </c>
      <c r="C186" s="101">
        <f>39000*E2</f>
        <v>39000</v>
      </c>
      <c r="D186" s="94"/>
      <c r="E186" s="94"/>
      <c r="F186" s="94"/>
      <c r="G186" s="94"/>
      <c r="H186" s="94"/>
      <c r="I186" s="94"/>
      <c r="J186" s="94"/>
      <c r="K186" s="94"/>
    </row>
    <row r="187" spans="1:11" x14ac:dyDescent="0.2">
      <c r="A187" s="94"/>
      <c r="B187" s="95">
        <v>181</v>
      </c>
      <c r="C187" s="100">
        <f>39150*E2</f>
        <v>39150</v>
      </c>
      <c r="D187" s="94"/>
      <c r="E187" s="94"/>
      <c r="F187" s="94"/>
      <c r="G187" s="94"/>
      <c r="H187" s="94"/>
      <c r="I187" s="94"/>
      <c r="J187" s="94"/>
      <c r="K187" s="94"/>
    </row>
    <row r="188" spans="1:11" x14ac:dyDescent="0.2">
      <c r="A188" s="94"/>
      <c r="B188" s="95">
        <v>182</v>
      </c>
      <c r="C188" s="100">
        <f>39300*E2</f>
        <v>39300</v>
      </c>
      <c r="D188" s="94"/>
      <c r="E188" s="94"/>
      <c r="F188" s="94"/>
      <c r="G188" s="94"/>
      <c r="H188" s="94"/>
      <c r="I188" s="94"/>
      <c r="J188" s="94"/>
      <c r="K188" s="94"/>
    </row>
    <row r="189" spans="1:11" x14ac:dyDescent="0.2">
      <c r="A189" s="94"/>
      <c r="B189" s="95">
        <v>183</v>
      </c>
      <c r="C189" s="100">
        <f>39450*E2</f>
        <v>39450</v>
      </c>
      <c r="D189" s="94"/>
      <c r="E189" s="94"/>
      <c r="F189" s="94"/>
      <c r="G189" s="94"/>
      <c r="H189" s="94"/>
      <c r="I189" s="94"/>
      <c r="J189" s="94"/>
      <c r="K189" s="94"/>
    </row>
    <row r="190" spans="1:11" x14ac:dyDescent="0.2">
      <c r="A190" s="94"/>
      <c r="B190" s="95">
        <v>184</v>
      </c>
      <c r="C190" s="100">
        <f>39600*E2</f>
        <v>39600</v>
      </c>
      <c r="D190" s="94"/>
      <c r="E190" s="94"/>
      <c r="F190" s="94"/>
      <c r="G190" s="94"/>
      <c r="H190" s="94"/>
      <c r="I190" s="94"/>
      <c r="J190" s="94"/>
      <c r="K190" s="94"/>
    </row>
    <row r="191" spans="1:11" x14ac:dyDescent="0.2">
      <c r="A191" s="94"/>
      <c r="B191" s="95">
        <v>185</v>
      </c>
      <c r="C191" s="101">
        <f>39750*E2</f>
        <v>39750</v>
      </c>
      <c r="D191" s="94"/>
      <c r="E191" s="94"/>
      <c r="F191" s="94"/>
      <c r="G191" s="94"/>
      <c r="H191" s="94"/>
      <c r="I191" s="94"/>
      <c r="J191" s="94"/>
      <c r="K191" s="94"/>
    </row>
    <row r="192" spans="1:11" x14ac:dyDescent="0.2">
      <c r="A192" s="94"/>
      <c r="B192" s="95">
        <v>186</v>
      </c>
      <c r="C192" s="100">
        <f>39900*E2</f>
        <v>39900</v>
      </c>
      <c r="D192" s="94"/>
      <c r="E192" s="94"/>
      <c r="F192" s="94"/>
      <c r="G192" s="94"/>
      <c r="H192" s="94"/>
      <c r="I192" s="94"/>
      <c r="J192" s="94"/>
      <c r="K192" s="94"/>
    </row>
    <row r="193" spans="1:11" x14ac:dyDescent="0.2">
      <c r="A193" s="94"/>
      <c r="B193" s="95">
        <v>187</v>
      </c>
      <c r="C193" s="100">
        <f>40050*E2</f>
        <v>40050</v>
      </c>
      <c r="D193" s="94"/>
      <c r="E193" s="94"/>
      <c r="F193" s="94"/>
      <c r="G193" s="94"/>
      <c r="H193" s="94"/>
      <c r="I193" s="94"/>
      <c r="J193" s="94"/>
      <c r="K193" s="94"/>
    </row>
    <row r="194" spans="1:11" x14ac:dyDescent="0.2">
      <c r="A194" s="94"/>
      <c r="B194" s="95">
        <v>188</v>
      </c>
      <c r="C194" s="100">
        <f>40200*E2</f>
        <v>40200</v>
      </c>
      <c r="D194" s="94"/>
      <c r="E194" s="94"/>
      <c r="F194" s="94"/>
      <c r="G194" s="94"/>
      <c r="H194" s="94"/>
      <c r="I194" s="94"/>
      <c r="J194" s="94"/>
      <c r="K194" s="94"/>
    </row>
    <row r="195" spans="1:11" x14ac:dyDescent="0.2">
      <c r="A195" s="94"/>
      <c r="B195" s="95">
        <v>189</v>
      </c>
      <c r="C195" s="100">
        <f>40350*E2</f>
        <v>40350</v>
      </c>
      <c r="D195" s="94"/>
      <c r="E195" s="94"/>
      <c r="F195" s="94"/>
      <c r="G195" s="94"/>
      <c r="H195" s="94"/>
      <c r="I195" s="94"/>
      <c r="J195" s="94"/>
      <c r="K195" s="94"/>
    </row>
    <row r="196" spans="1:11" x14ac:dyDescent="0.2">
      <c r="A196" s="94"/>
      <c r="B196" s="95">
        <v>190</v>
      </c>
      <c r="C196" s="101">
        <f>40500*E2</f>
        <v>40500</v>
      </c>
      <c r="D196" s="94"/>
      <c r="E196" s="94"/>
      <c r="F196" s="94"/>
      <c r="G196" s="94"/>
      <c r="H196" s="94"/>
      <c r="I196" s="94"/>
      <c r="J196" s="94"/>
      <c r="K196" s="94"/>
    </row>
    <row r="197" spans="1:11" x14ac:dyDescent="0.2">
      <c r="A197" s="94"/>
      <c r="B197" s="95">
        <v>191</v>
      </c>
      <c r="C197" s="100">
        <f>40650*E2</f>
        <v>40650</v>
      </c>
      <c r="D197" s="94"/>
      <c r="E197" s="94"/>
      <c r="F197" s="94"/>
      <c r="G197" s="94"/>
      <c r="H197" s="94"/>
      <c r="I197" s="94"/>
      <c r="J197" s="94"/>
      <c r="K197" s="94"/>
    </row>
    <row r="198" spans="1:11" x14ac:dyDescent="0.2">
      <c r="A198" s="94"/>
      <c r="B198" s="95">
        <v>192</v>
      </c>
      <c r="C198" s="100">
        <f>40800*E2</f>
        <v>40800</v>
      </c>
      <c r="D198" s="94"/>
      <c r="E198" s="94"/>
      <c r="F198" s="94"/>
      <c r="G198" s="94"/>
      <c r="H198" s="94"/>
      <c r="I198" s="94"/>
      <c r="J198" s="94"/>
      <c r="K198" s="94"/>
    </row>
    <row r="199" spans="1:11" x14ac:dyDescent="0.2">
      <c r="A199" s="94"/>
      <c r="B199" s="95">
        <v>193</v>
      </c>
      <c r="C199" s="100">
        <f>40950*E2</f>
        <v>40950</v>
      </c>
      <c r="D199" s="94"/>
      <c r="E199" s="94"/>
      <c r="F199" s="94"/>
      <c r="G199" s="94"/>
      <c r="H199" s="94"/>
      <c r="I199" s="94"/>
      <c r="J199" s="94"/>
      <c r="K199" s="94"/>
    </row>
    <row r="200" spans="1:11" x14ac:dyDescent="0.2">
      <c r="A200" s="94"/>
      <c r="B200" s="95">
        <v>194</v>
      </c>
      <c r="C200" s="100">
        <f>41100*E2</f>
        <v>41100</v>
      </c>
      <c r="D200" s="94"/>
      <c r="E200" s="94"/>
      <c r="F200" s="94"/>
      <c r="G200" s="94"/>
      <c r="H200" s="94"/>
      <c r="I200" s="94"/>
      <c r="J200" s="94"/>
      <c r="K200" s="94"/>
    </row>
    <row r="201" spans="1:11" x14ac:dyDescent="0.2">
      <c r="A201" s="94"/>
      <c r="B201" s="95">
        <v>195</v>
      </c>
      <c r="C201" s="101">
        <f>41250*E2</f>
        <v>41250</v>
      </c>
      <c r="D201" s="94"/>
      <c r="E201" s="94"/>
      <c r="F201" s="94"/>
      <c r="G201" s="94"/>
      <c r="H201" s="94"/>
      <c r="I201" s="94"/>
      <c r="J201" s="94"/>
      <c r="K201" s="94"/>
    </row>
    <row r="202" spans="1:11" x14ac:dyDescent="0.2">
      <c r="A202" s="94"/>
      <c r="B202" s="95">
        <v>196</v>
      </c>
      <c r="C202" s="100">
        <f>41400*E2</f>
        <v>41400</v>
      </c>
      <c r="D202" s="94"/>
      <c r="E202" s="94"/>
      <c r="F202" s="94"/>
      <c r="G202" s="94"/>
      <c r="H202" s="94"/>
      <c r="I202" s="94"/>
      <c r="J202" s="94"/>
      <c r="K202" s="94"/>
    </row>
    <row r="203" spans="1:11" x14ac:dyDescent="0.2">
      <c r="A203" s="94"/>
      <c r="B203" s="95">
        <v>197</v>
      </c>
      <c r="C203" s="100">
        <f>41550*E2</f>
        <v>41550</v>
      </c>
      <c r="D203" s="94"/>
      <c r="E203" s="94"/>
      <c r="F203" s="94"/>
      <c r="G203" s="94"/>
      <c r="H203" s="94"/>
      <c r="I203" s="94"/>
      <c r="J203" s="94"/>
      <c r="K203" s="94"/>
    </row>
    <row r="204" spans="1:11" x14ac:dyDescent="0.2">
      <c r="A204" s="94"/>
      <c r="B204" s="95">
        <v>198</v>
      </c>
      <c r="C204" s="100">
        <f>41700*E2</f>
        <v>41700</v>
      </c>
      <c r="D204" s="94"/>
      <c r="E204" s="94"/>
      <c r="F204" s="94"/>
      <c r="G204" s="94"/>
      <c r="H204" s="94"/>
      <c r="I204" s="94"/>
      <c r="J204" s="94"/>
      <c r="K204" s="94"/>
    </row>
    <row r="205" spans="1:11" x14ac:dyDescent="0.2">
      <c r="A205" s="94"/>
      <c r="B205" s="95">
        <v>199</v>
      </c>
      <c r="C205" s="100">
        <f>41850*E2</f>
        <v>41850</v>
      </c>
      <c r="D205" s="94"/>
      <c r="E205" s="94"/>
      <c r="F205" s="94"/>
      <c r="G205" s="94"/>
      <c r="H205" s="94"/>
      <c r="I205" s="94"/>
      <c r="J205" s="94"/>
      <c r="K205" s="94"/>
    </row>
    <row r="206" spans="1:11" x14ac:dyDescent="0.2">
      <c r="A206" s="94"/>
      <c r="B206" s="95">
        <v>200</v>
      </c>
      <c r="C206" s="101">
        <f>42000*E2</f>
        <v>42000</v>
      </c>
      <c r="D206" s="94"/>
      <c r="E206" s="94"/>
      <c r="F206" s="94"/>
      <c r="G206" s="94"/>
      <c r="H206" s="94"/>
      <c r="I206" s="94"/>
      <c r="J206" s="94"/>
      <c r="K206" s="94"/>
    </row>
    <row r="207" spans="1:11" x14ac:dyDescent="0.2">
      <c r="A207" s="94"/>
      <c r="B207" s="95">
        <v>201</v>
      </c>
      <c r="C207" s="100">
        <f>42150*E2</f>
        <v>42150</v>
      </c>
      <c r="D207" s="94"/>
      <c r="E207" s="94"/>
      <c r="F207" s="94"/>
      <c r="G207" s="94"/>
      <c r="H207" s="94"/>
      <c r="I207" s="94"/>
      <c r="J207" s="94"/>
      <c r="K207" s="94"/>
    </row>
    <row r="208" spans="1:11" x14ac:dyDescent="0.2">
      <c r="A208" s="94"/>
      <c r="B208" s="95">
        <v>202</v>
      </c>
      <c r="C208" s="100">
        <f>42300*E2</f>
        <v>42300</v>
      </c>
      <c r="D208" s="94"/>
      <c r="E208" s="94"/>
      <c r="F208" s="94"/>
      <c r="G208" s="94"/>
      <c r="H208" s="94"/>
      <c r="I208" s="94"/>
      <c r="J208" s="94"/>
      <c r="K208" s="94"/>
    </row>
    <row r="209" spans="1:11" x14ac:dyDescent="0.2">
      <c r="A209" s="94"/>
      <c r="B209" s="95">
        <v>203</v>
      </c>
      <c r="C209" s="100">
        <f>42450*E2</f>
        <v>42450</v>
      </c>
      <c r="D209" s="94"/>
      <c r="E209" s="94"/>
      <c r="F209" s="94"/>
      <c r="G209" s="94"/>
      <c r="H209" s="94"/>
      <c r="I209" s="94"/>
      <c r="J209" s="94"/>
      <c r="K209" s="94"/>
    </row>
    <row r="210" spans="1:11" x14ac:dyDescent="0.2">
      <c r="A210" s="94"/>
      <c r="B210" s="95">
        <v>204</v>
      </c>
      <c r="C210" s="100">
        <f>42600*E2</f>
        <v>42600</v>
      </c>
      <c r="D210" s="94"/>
      <c r="E210" s="94"/>
      <c r="F210" s="94"/>
      <c r="G210" s="94"/>
      <c r="H210" s="94"/>
      <c r="I210" s="94"/>
      <c r="J210" s="94"/>
      <c r="K210" s="94"/>
    </row>
    <row r="211" spans="1:11" x14ac:dyDescent="0.2">
      <c r="A211" s="94"/>
      <c r="B211" s="95">
        <v>205</v>
      </c>
      <c r="C211" s="101">
        <f>42750*E2</f>
        <v>42750</v>
      </c>
      <c r="D211" s="94"/>
      <c r="E211" s="94"/>
      <c r="F211" s="94"/>
      <c r="G211" s="94"/>
      <c r="H211" s="94"/>
      <c r="I211" s="94"/>
      <c r="J211" s="94"/>
      <c r="K211" s="94"/>
    </row>
    <row r="212" spans="1:11" x14ac:dyDescent="0.2">
      <c r="A212" s="94"/>
      <c r="B212" s="95">
        <v>206</v>
      </c>
      <c r="C212" s="100">
        <f>42900*E2</f>
        <v>42900</v>
      </c>
      <c r="D212" s="94"/>
      <c r="E212" s="94"/>
      <c r="F212" s="94"/>
      <c r="G212" s="94"/>
      <c r="H212" s="94"/>
      <c r="I212" s="94"/>
      <c r="J212" s="94"/>
      <c r="K212" s="94"/>
    </row>
    <row r="213" spans="1:11" x14ac:dyDescent="0.2">
      <c r="A213" s="94"/>
      <c r="B213" s="95">
        <v>207</v>
      </c>
      <c r="C213" s="100">
        <f>43050*E2</f>
        <v>43050</v>
      </c>
      <c r="D213" s="94"/>
      <c r="E213" s="94"/>
      <c r="F213" s="94"/>
      <c r="G213" s="94"/>
      <c r="H213" s="94"/>
      <c r="I213" s="94"/>
      <c r="J213" s="94"/>
      <c r="K213" s="94"/>
    </row>
    <row r="214" spans="1:11" x14ac:dyDescent="0.2">
      <c r="A214" s="94"/>
      <c r="B214" s="95">
        <v>208</v>
      </c>
      <c r="C214" s="100">
        <f>43200*E2</f>
        <v>43200</v>
      </c>
      <c r="D214" s="94"/>
      <c r="E214" s="94"/>
      <c r="F214" s="94"/>
      <c r="G214" s="94"/>
      <c r="H214" s="94"/>
      <c r="I214" s="94"/>
      <c r="J214" s="94"/>
      <c r="K214" s="94"/>
    </row>
    <row r="215" spans="1:11" x14ac:dyDescent="0.2">
      <c r="A215" s="94"/>
      <c r="B215" s="95">
        <v>209</v>
      </c>
      <c r="C215" s="100">
        <f>43350*E2</f>
        <v>43350</v>
      </c>
      <c r="D215" s="94"/>
      <c r="E215" s="94"/>
      <c r="F215" s="94"/>
      <c r="G215" s="94"/>
      <c r="H215" s="94"/>
      <c r="I215" s="94"/>
      <c r="J215" s="94"/>
      <c r="K215" s="94"/>
    </row>
    <row r="216" spans="1:11" x14ac:dyDescent="0.2">
      <c r="A216" s="94"/>
      <c r="B216" s="95">
        <v>210</v>
      </c>
      <c r="C216" s="101">
        <f>43500*E2</f>
        <v>43500</v>
      </c>
      <c r="D216" s="94"/>
      <c r="E216" s="94"/>
      <c r="F216" s="94"/>
      <c r="G216" s="94"/>
      <c r="H216" s="94"/>
      <c r="I216" s="94"/>
      <c r="J216" s="94"/>
      <c r="K216" s="94"/>
    </row>
    <row r="217" spans="1:11" x14ac:dyDescent="0.2">
      <c r="A217" s="94"/>
      <c r="B217" s="95">
        <v>211</v>
      </c>
      <c r="C217" s="100">
        <f>43650*E2</f>
        <v>43650</v>
      </c>
      <c r="D217" s="94"/>
      <c r="E217" s="94"/>
      <c r="F217" s="94"/>
      <c r="G217" s="94"/>
      <c r="H217" s="94"/>
      <c r="I217" s="94"/>
      <c r="J217" s="94"/>
      <c r="K217" s="94"/>
    </row>
    <row r="218" spans="1:11" x14ac:dyDescent="0.2">
      <c r="A218" s="94"/>
      <c r="B218" s="95">
        <v>212</v>
      </c>
      <c r="C218" s="100">
        <f>43800*E2</f>
        <v>43800</v>
      </c>
      <c r="D218" s="94"/>
      <c r="E218" s="94"/>
      <c r="F218" s="94"/>
      <c r="G218" s="94"/>
      <c r="H218" s="94"/>
      <c r="I218" s="94"/>
      <c r="J218" s="94"/>
      <c r="K218" s="94"/>
    </row>
    <row r="219" spans="1:11" x14ac:dyDescent="0.2">
      <c r="A219" s="94"/>
      <c r="B219" s="95">
        <v>213</v>
      </c>
      <c r="C219" s="100">
        <f>43950*E2</f>
        <v>43950</v>
      </c>
      <c r="D219" s="94"/>
      <c r="E219" s="94"/>
      <c r="F219" s="94"/>
      <c r="G219" s="94"/>
      <c r="H219" s="94"/>
      <c r="I219" s="94"/>
      <c r="J219" s="94"/>
      <c r="K219" s="94"/>
    </row>
    <row r="220" spans="1:11" x14ac:dyDescent="0.2">
      <c r="A220" s="94"/>
      <c r="B220" s="95">
        <v>214</v>
      </c>
      <c r="C220" s="100">
        <f>44100*E2</f>
        <v>44100</v>
      </c>
      <c r="D220" s="94"/>
      <c r="E220" s="94"/>
      <c r="F220" s="94"/>
      <c r="G220" s="94"/>
      <c r="H220" s="94"/>
      <c r="I220" s="94"/>
      <c r="J220" s="94"/>
      <c r="K220" s="94"/>
    </row>
    <row r="221" spans="1:11" x14ac:dyDescent="0.2">
      <c r="A221" s="94"/>
      <c r="B221" s="95">
        <v>215</v>
      </c>
      <c r="C221" s="101">
        <f>44250*E2</f>
        <v>44250</v>
      </c>
      <c r="D221" s="94"/>
      <c r="E221" s="94"/>
      <c r="F221" s="94"/>
      <c r="G221" s="94"/>
      <c r="H221" s="94"/>
      <c r="I221" s="94"/>
      <c r="J221" s="94"/>
      <c r="K221" s="94"/>
    </row>
    <row r="222" spans="1:11" x14ac:dyDescent="0.2">
      <c r="A222" s="94"/>
      <c r="B222" s="95">
        <v>216</v>
      </c>
      <c r="C222" s="100">
        <f>44400*E2</f>
        <v>44400</v>
      </c>
      <c r="D222" s="94"/>
      <c r="E222" s="94"/>
      <c r="F222" s="94"/>
      <c r="G222" s="94"/>
      <c r="H222" s="94"/>
      <c r="I222" s="94"/>
      <c r="J222" s="94"/>
      <c r="K222" s="94"/>
    </row>
    <row r="223" spans="1:11" x14ac:dyDescent="0.2">
      <c r="A223" s="94"/>
      <c r="B223" s="95">
        <v>217</v>
      </c>
      <c r="C223" s="100">
        <f>44550*E2</f>
        <v>44550</v>
      </c>
      <c r="D223" s="94"/>
      <c r="E223" s="94"/>
      <c r="F223" s="94"/>
      <c r="G223" s="94"/>
      <c r="H223" s="94"/>
      <c r="I223" s="94"/>
      <c r="J223" s="94"/>
      <c r="K223" s="94"/>
    </row>
    <row r="224" spans="1:11" x14ac:dyDescent="0.2">
      <c r="A224" s="94"/>
      <c r="B224" s="95">
        <v>218</v>
      </c>
      <c r="C224" s="100">
        <f>44700*E2</f>
        <v>44700</v>
      </c>
      <c r="D224" s="94"/>
      <c r="E224" s="94"/>
      <c r="F224" s="94"/>
      <c r="G224" s="94"/>
      <c r="H224" s="94"/>
      <c r="I224" s="94"/>
      <c r="J224" s="94"/>
      <c r="K224" s="94"/>
    </row>
    <row r="225" spans="1:11" x14ac:dyDescent="0.2">
      <c r="A225" s="94"/>
      <c r="B225" s="95">
        <v>219</v>
      </c>
      <c r="C225" s="100">
        <f>44850*E2</f>
        <v>44850</v>
      </c>
      <c r="D225" s="94"/>
      <c r="E225" s="94"/>
      <c r="F225" s="94"/>
      <c r="G225" s="94"/>
      <c r="H225" s="94"/>
      <c r="I225" s="94"/>
      <c r="J225" s="94"/>
      <c r="K225" s="94"/>
    </row>
    <row r="226" spans="1:11" x14ac:dyDescent="0.2">
      <c r="A226" s="94"/>
      <c r="B226" s="95">
        <v>220</v>
      </c>
      <c r="C226" s="101">
        <f>45000*E2</f>
        <v>45000</v>
      </c>
      <c r="D226" s="94"/>
      <c r="E226" s="94"/>
      <c r="F226" s="94"/>
      <c r="G226" s="94"/>
      <c r="H226" s="94"/>
      <c r="I226" s="94"/>
      <c r="J226" s="94"/>
      <c r="K226" s="94"/>
    </row>
    <row r="227" spans="1:11" x14ac:dyDescent="0.2">
      <c r="A227" s="94"/>
      <c r="B227" s="95">
        <v>221</v>
      </c>
      <c r="C227" s="100">
        <f>45150*E2</f>
        <v>45150</v>
      </c>
      <c r="D227" s="94"/>
      <c r="E227" s="94"/>
      <c r="F227" s="94"/>
      <c r="G227" s="94"/>
      <c r="H227" s="94"/>
      <c r="I227" s="94"/>
      <c r="J227" s="94"/>
      <c r="K227" s="94"/>
    </row>
    <row r="228" spans="1:11" x14ac:dyDescent="0.2">
      <c r="A228" s="94"/>
      <c r="B228" s="95">
        <v>222</v>
      </c>
      <c r="C228" s="100">
        <f>45300*E2</f>
        <v>45300</v>
      </c>
      <c r="D228" s="94"/>
      <c r="E228" s="94"/>
      <c r="F228" s="94"/>
      <c r="G228" s="94"/>
      <c r="H228" s="94"/>
      <c r="I228" s="94"/>
      <c r="J228" s="94"/>
      <c r="K228" s="94"/>
    </row>
    <row r="229" spans="1:11" x14ac:dyDescent="0.2">
      <c r="A229" s="94"/>
      <c r="B229" s="95">
        <v>223</v>
      </c>
      <c r="C229" s="100">
        <f>45450*E2</f>
        <v>45450</v>
      </c>
      <c r="D229" s="94"/>
      <c r="E229" s="94"/>
      <c r="F229" s="94"/>
      <c r="G229" s="94"/>
      <c r="H229" s="94"/>
      <c r="I229" s="94"/>
      <c r="J229" s="94"/>
      <c r="K229" s="94"/>
    </row>
    <row r="230" spans="1:11" x14ac:dyDescent="0.2">
      <c r="A230" s="94"/>
      <c r="B230" s="95">
        <v>224</v>
      </c>
      <c r="C230" s="100">
        <f>45600*E2</f>
        <v>45600</v>
      </c>
      <c r="D230" s="94"/>
      <c r="E230" s="94"/>
      <c r="F230" s="94"/>
      <c r="G230" s="94"/>
      <c r="H230" s="94"/>
      <c r="I230" s="94"/>
      <c r="J230" s="94"/>
      <c r="K230" s="94"/>
    </row>
    <row r="231" spans="1:11" x14ac:dyDescent="0.2">
      <c r="A231" s="94"/>
      <c r="B231" s="95">
        <v>225</v>
      </c>
      <c r="C231" s="101">
        <f>45750*E2</f>
        <v>45750</v>
      </c>
      <c r="D231" s="94"/>
      <c r="E231" s="94"/>
      <c r="F231" s="94"/>
      <c r="G231" s="94"/>
      <c r="H231" s="94"/>
      <c r="I231" s="94"/>
      <c r="J231" s="94"/>
      <c r="K231" s="94"/>
    </row>
    <row r="232" spans="1:11" x14ac:dyDescent="0.2">
      <c r="A232" s="94"/>
      <c r="B232" s="95">
        <v>226</v>
      </c>
      <c r="C232" s="100">
        <f>45900*E2</f>
        <v>45900</v>
      </c>
      <c r="D232" s="94"/>
      <c r="E232" s="94"/>
      <c r="F232" s="94"/>
      <c r="G232" s="94"/>
      <c r="H232" s="94"/>
      <c r="I232" s="94"/>
      <c r="J232" s="94"/>
      <c r="K232" s="94"/>
    </row>
    <row r="233" spans="1:11" x14ac:dyDescent="0.2">
      <c r="A233" s="94"/>
      <c r="B233" s="95">
        <v>227</v>
      </c>
      <c r="C233" s="100">
        <f>46050*E2</f>
        <v>46050</v>
      </c>
      <c r="D233" s="94"/>
      <c r="E233" s="94"/>
      <c r="F233" s="94"/>
      <c r="G233" s="94"/>
      <c r="H233" s="94"/>
      <c r="I233" s="94"/>
      <c r="J233" s="94"/>
      <c r="K233" s="94"/>
    </row>
    <row r="234" spans="1:11" x14ac:dyDescent="0.2">
      <c r="A234" s="94"/>
      <c r="B234" s="95">
        <v>228</v>
      </c>
      <c r="C234" s="100">
        <f>46200*E2</f>
        <v>46200</v>
      </c>
      <c r="D234" s="94"/>
      <c r="E234" s="94"/>
      <c r="F234" s="94"/>
      <c r="G234" s="94"/>
      <c r="H234" s="94"/>
      <c r="I234" s="94"/>
      <c r="J234" s="94"/>
      <c r="K234" s="94"/>
    </row>
    <row r="235" spans="1:11" x14ac:dyDescent="0.2">
      <c r="A235" s="94"/>
      <c r="B235" s="95">
        <v>229</v>
      </c>
      <c r="C235" s="100">
        <f>46350*E2</f>
        <v>46350</v>
      </c>
      <c r="D235" s="94"/>
      <c r="E235" s="94"/>
      <c r="F235" s="94"/>
      <c r="G235" s="94"/>
      <c r="H235" s="94"/>
      <c r="I235" s="94"/>
      <c r="J235" s="94"/>
      <c r="K235" s="94"/>
    </row>
    <row r="236" spans="1:11" x14ac:dyDescent="0.2">
      <c r="A236" s="94"/>
      <c r="B236" s="95">
        <v>230</v>
      </c>
      <c r="C236" s="101">
        <f>46500*E2</f>
        <v>46500</v>
      </c>
      <c r="D236" s="94"/>
      <c r="E236" s="94"/>
      <c r="F236" s="94"/>
      <c r="G236" s="94"/>
      <c r="H236" s="94"/>
      <c r="I236" s="94"/>
      <c r="J236" s="94"/>
      <c r="K236" s="94"/>
    </row>
    <row r="237" spans="1:11" x14ac:dyDescent="0.2">
      <c r="A237" s="94"/>
      <c r="B237" s="95">
        <v>231</v>
      </c>
      <c r="C237" s="100">
        <f>46650*E2</f>
        <v>46650</v>
      </c>
      <c r="D237" s="94"/>
      <c r="E237" s="94"/>
      <c r="F237" s="94"/>
      <c r="G237" s="94"/>
      <c r="H237" s="94"/>
      <c r="I237" s="94"/>
      <c r="J237" s="94"/>
      <c r="K237" s="94"/>
    </row>
    <row r="238" spans="1:11" x14ac:dyDescent="0.2">
      <c r="A238" s="94"/>
      <c r="B238" s="95">
        <v>232</v>
      </c>
      <c r="C238" s="100">
        <f>46800*E2</f>
        <v>46800</v>
      </c>
      <c r="D238" s="94"/>
      <c r="E238" s="94"/>
      <c r="F238" s="94"/>
      <c r="G238" s="94"/>
      <c r="H238" s="94"/>
      <c r="I238" s="94"/>
      <c r="J238" s="94"/>
      <c r="K238" s="94"/>
    </row>
    <row r="239" spans="1:11" x14ac:dyDescent="0.2">
      <c r="A239" s="94"/>
      <c r="B239" s="95">
        <v>233</v>
      </c>
      <c r="C239" s="100">
        <f>46950*E2</f>
        <v>46950</v>
      </c>
      <c r="D239" s="94"/>
      <c r="E239" s="94"/>
      <c r="F239" s="94"/>
      <c r="G239" s="94"/>
      <c r="H239" s="94"/>
      <c r="I239" s="94"/>
      <c r="J239" s="94"/>
      <c r="K239" s="94"/>
    </row>
    <row r="240" spans="1:11" x14ac:dyDescent="0.2">
      <c r="A240" s="94"/>
      <c r="B240" s="95">
        <v>234</v>
      </c>
      <c r="C240" s="100">
        <f>47100*E2</f>
        <v>47100</v>
      </c>
      <c r="D240" s="94"/>
      <c r="E240" s="94"/>
      <c r="F240" s="94"/>
      <c r="G240" s="94"/>
      <c r="H240" s="94"/>
      <c r="I240" s="94"/>
      <c r="J240" s="94"/>
      <c r="K240" s="94"/>
    </row>
    <row r="241" spans="1:11" x14ac:dyDescent="0.2">
      <c r="A241" s="94"/>
      <c r="B241" s="95">
        <v>235</v>
      </c>
      <c r="C241" s="101">
        <f>47250*E2</f>
        <v>47250</v>
      </c>
      <c r="D241" s="94"/>
      <c r="E241" s="94"/>
      <c r="F241" s="94"/>
      <c r="G241" s="94"/>
      <c r="H241" s="94"/>
      <c r="I241" s="94"/>
      <c r="J241" s="94"/>
      <c r="K241" s="94"/>
    </row>
    <row r="242" spans="1:11" x14ac:dyDescent="0.2">
      <c r="A242" s="94"/>
      <c r="B242" s="95">
        <v>236</v>
      </c>
      <c r="C242" s="100">
        <f>47400*E2</f>
        <v>47400</v>
      </c>
      <c r="D242" s="94"/>
      <c r="E242" s="94"/>
      <c r="F242" s="94"/>
      <c r="G242" s="94"/>
      <c r="H242" s="94"/>
      <c r="I242" s="94"/>
      <c r="J242" s="94"/>
      <c r="K242" s="94"/>
    </row>
    <row r="243" spans="1:11" x14ac:dyDescent="0.2">
      <c r="A243" s="94"/>
      <c r="B243" s="95">
        <v>237</v>
      </c>
      <c r="C243" s="100">
        <f>47550*E2</f>
        <v>47550</v>
      </c>
      <c r="D243" s="94"/>
      <c r="E243" s="94"/>
      <c r="F243" s="94"/>
      <c r="G243" s="94"/>
      <c r="H243" s="94"/>
      <c r="I243" s="94"/>
      <c r="J243" s="94"/>
      <c r="K243" s="94"/>
    </row>
    <row r="244" spans="1:11" x14ac:dyDescent="0.2">
      <c r="A244" s="94"/>
      <c r="B244" s="95">
        <v>238</v>
      </c>
      <c r="C244" s="100">
        <f>47700*E2</f>
        <v>47700</v>
      </c>
      <c r="D244" s="94"/>
      <c r="E244" s="94"/>
      <c r="F244" s="94"/>
      <c r="G244" s="94"/>
      <c r="H244" s="94"/>
      <c r="I244" s="94"/>
      <c r="J244" s="94"/>
      <c r="K244" s="94"/>
    </row>
    <row r="245" spans="1:11" x14ac:dyDescent="0.2">
      <c r="A245" s="94"/>
      <c r="B245" s="95">
        <v>239</v>
      </c>
      <c r="C245" s="100">
        <f>47850*E2</f>
        <v>47850</v>
      </c>
      <c r="D245" s="94"/>
      <c r="E245" s="94"/>
      <c r="F245" s="94"/>
      <c r="G245" s="94"/>
      <c r="H245" s="94"/>
      <c r="I245" s="94"/>
      <c r="J245" s="94"/>
      <c r="K245" s="94"/>
    </row>
    <row r="246" spans="1:11" x14ac:dyDescent="0.2">
      <c r="A246" s="94"/>
      <c r="B246" s="95">
        <v>240</v>
      </c>
      <c r="C246" s="101">
        <f>48000*E2</f>
        <v>48000</v>
      </c>
      <c r="D246" s="94"/>
      <c r="E246" s="94"/>
      <c r="F246" s="94"/>
      <c r="G246" s="94"/>
      <c r="H246" s="94"/>
      <c r="I246" s="94"/>
      <c r="J246" s="94"/>
      <c r="K246" s="94"/>
    </row>
    <row r="247" spans="1:11" x14ac:dyDescent="0.2">
      <c r="A247" s="94"/>
      <c r="B247" s="95">
        <v>241</v>
      </c>
      <c r="C247" s="100">
        <f>48150*E2</f>
        <v>48150</v>
      </c>
      <c r="D247" s="94"/>
      <c r="E247" s="94"/>
      <c r="F247" s="94"/>
      <c r="G247" s="94"/>
      <c r="H247" s="94"/>
      <c r="I247" s="94"/>
      <c r="J247" s="94"/>
      <c r="K247" s="94"/>
    </row>
    <row r="248" spans="1:11" x14ac:dyDescent="0.2">
      <c r="A248" s="94"/>
      <c r="B248" s="95">
        <v>242</v>
      </c>
      <c r="C248" s="100">
        <f>48300*E2</f>
        <v>48300</v>
      </c>
      <c r="D248" s="94"/>
      <c r="E248" s="94"/>
      <c r="F248" s="94"/>
      <c r="G248" s="94"/>
      <c r="H248" s="94"/>
      <c r="I248" s="94"/>
      <c r="J248" s="94"/>
      <c r="K248" s="94"/>
    </row>
    <row r="249" spans="1:11" x14ac:dyDescent="0.2">
      <c r="A249" s="94"/>
      <c r="B249" s="95">
        <v>243</v>
      </c>
      <c r="C249" s="100">
        <f>48450*E2</f>
        <v>48450</v>
      </c>
      <c r="D249" s="94"/>
      <c r="E249" s="94"/>
      <c r="F249" s="94"/>
      <c r="G249" s="94"/>
      <c r="H249" s="94"/>
      <c r="I249" s="94"/>
      <c r="J249" s="94"/>
      <c r="K249" s="94"/>
    </row>
    <row r="250" spans="1:11" x14ac:dyDescent="0.2">
      <c r="A250" s="94"/>
      <c r="B250" s="95">
        <v>244</v>
      </c>
      <c r="C250" s="100">
        <f>48600*E2</f>
        <v>48600</v>
      </c>
      <c r="D250" s="94"/>
      <c r="E250" s="94"/>
      <c r="F250" s="94"/>
      <c r="G250" s="94"/>
      <c r="H250" s="94"/>
      <c r="I250" s="94"/>
      <c r="J250" s="94"/>
      <c r="K250" s="94"/>
    </row>
    <row r="251" spans="1:11" x14ac:dyDescent="0.2">
      <c r="A251" s="94"/>
      <c r="B251" s="95">
        <v>245</v>
      </c>
      <c r="C251" s="101">
        <f>48750*E2</f>
        <v>48750</v>
      </c>
      <c r="D251" s="94"/>
      <c r="E251" s="94"/>
      <c r="F251" s="94"/>
      <c r="G251" s="94"/>
      <c r="H251" s="94"/>
      <c r="I251" s="94"/>
      <c r="J251" s="94"/>
      <c r="K251" s="94"/>
    </row>
    <row r="252" spans="1:11" x14ac:dyDescent="0.2">
      <c r="A252" s="94"/>
      <c r="B252" s="95">
        <v>246</v>
      </c>
      <c r="C252" s="100">
        <f>48900*E2</f>
        <v>48900</v>
      </c>
      <c r="D252" s="94"/>
      <c r="E252" s="94"/>
      <c r="F252" s="94"/>
      <c r="G252" s="94"/>
      <c r="H252" s="94"/>
      <c r="I252" s="94"/>
      <c r="J252" s="94"/>
      <c r="K252" s="94"/>
    </row>
    <row r="253" spans="1:11" x14ac:dyDescent="0.2">
      <c r="A253" s="94"/>
      <c r="B253" s="95">
        <v>247</v>
      </c>
      <c r="C253" s="100">
        <f>49050*E2</f>
        <v>49050</v>
      </c>
      <c r="D253" s="94"/>
      <c r="E253" s="94"/>
      <c r="F253" s="94"/>
      <c r="G253" s="94"/>
      <c r="H253" s="94"/>
      <c r="I253" s="94"/>
      <c r="J253" s="94"/>
      <c r="K253" s="94"/>
    </row>
    <row r="254" spans="1:11" x14ac:dyDescent="0.2">
      <c r="A254" s="94"/>
      <c r="B254" s="95">
        <v>248</v>
      </c>
      <c r="C254" s="100">
        <f>49200*E2</f>
        <v>49200</v>
      </c>
      <c r="D254" s="94"/>
      <c r="E254" s="94"/>
      <c r="F254" s="94"/>
      <c r="G254" s="94"/>
      <c r="H254" s="94"/>
      <c r="I254" s="94"/>
      <c r="J254" s="94"/>
      <c r="K254" s="94"/>
    </row>
    <row r="255" spans="1:11" x14ac:dyDescent="0.2">
      <c r="A255" s="94"/>
      <c r="B255" s="95">
        <v>249</v>
      </c>
      <c r="C255" s="100">
        <f>49350*E2</f>
        <v>49350</v>
      </c>
      <c r="D255" s="94"/>
      <c r="E255" s="94"/>
      <c r="F255" s="94"/>
      <c r="G255" s="94"/>
      <c r="H255" s="94"/>
      <c r="I255" s="94"/>
      <c r="J255" s="94"/>
      <c r="K255" s="94"/>
    </row>
    <row r="256" spans="1:11" x14ac:dyDescent="0.2">
      <c r="A256" s="94"/>
      <c r="B256" s="95">
        <v>250</v>
      </c>
      <c r="C256" s="101">
        <f>49500*E2</f>
        <v>49500</v>
      </c>
      <c r="D256" s="94"/>
      <c r="E256" s="94"/>
      <c r="F256" s="94"/>
      <c r="G256" s="94"/>
      <c r="H256" s="94"/>
      <c r="I256" s="94"/>
      <c r="J256" s="94"/>
      <c r="K256" s="94"/>
    </row>
    <row r="257" spans="1:11" x14ac:dyDescent="0.2">
      <c r="A257" s="94"/>
      <c r="B257" s="95">
        <v>251</v>
      </c>
      <c r="C257" s="100">
        <f>49650*E2</f>
        <v>49650</v>
      </c>
      <c r="D257" s="94"/>
      <c r="E257" s="94"/>
      <c r="F257" s="94"/>
      <c r="G257" s="94"/>
      <c r="H257" s="94"/>
      <c r="I257" s="94"/>
      <c r="J257" s="94"/>
      <c r="K257" s="94"/>
    </row>
    <row r="258" spans="1:11" x14ac:dyDescent="0.2">
      <c r="A258" s="94"/>
      <c r="B258" s="95">
        <v>252</v>
      </c>
      <c r="C258" s="100">
        <f>49800*E2</f>
        <v>49800</v>
      </c>
      <c r="D258" s="94"/>
      <c r="E258" s="94"/>
      <c r="F258" s="94"/>
      <c r="G258" s="94"/>
      <c r="H258" s="94"/>
      <c r="I258" s="94"/>
      <c r="J258" s="94"/>
      <c r="K258" s="94"/>
    </row>
    <row r="259" spans="1:11" x14ac:dyDescent="0.2">
      <c r="A259" s="94"/>
      <c r="B259" s="95">
        <v>253</v>
      </c>
      <c r="C259" s="100">
        <f>49950*E2</f>
        <v>49950</v>
      </c>
      <c r="D259" s="94"/>
      <c r="E259" s="94"/>
      <c r="F259" s="94"/>
      <c r="G259" s="94"/>
      <c r="H259" s="94"/>
      <c r="I259" s="94"/>
      <c r="J259" s="94"/>
      <c r="K259" s="94"/>
    </row>
    <row r="260" spans="1:11" x14ac:dyDescent="0.2">
      <c r="A260" s="94"/>
      <c r="B260" s="95">
        <v>254</v>
      </c>
      <c r="C260" s="100">
        <f>50100*E2</f>
        <v>50100</v>
      </c>
      <c r="D260" s="94"/>
      <c r="E260" s="94"/>
      <c r="F260" s="94"/>
      <c r="G260" s="94"/>
      <c r="H260" s="94"/>
      <c r="I260" s="94"/>
      <c r="J260" s="94"/>
      <c r="K260" s="94"/>
    </row>
    <row r="261" spans="1:11" x14ac:dyDescent="0.2">
      <c r="A261" s="94"/>
      <c r="B261" s="95">
        <v>255</v>
      </c>
      <c r="C261" s="101">
        <f>50250*E2</f>
        <v>50250</v>
      </c>
      <c r="D261" s="94"/>
      <c r="E261" s="94"/>
      <c r="F261" s="94"/>
      <c r="G261" s="94"/>
      <c r="H261" s="94"/>
      <c r="I261" s="94"/>
      <c r="J261" s="94"/>
      <c r="K261" s="94"/>
    </row>
    <row r="262" spans="1:11" x14ac:dyDescent="0.2">
      <c r="A262" s="94"/>
      <c r="B262" s="95">
        <v>256</v>
      </c>
      <c r="C262" s="100">
        <f>50400*E2</f>
        <v>50400</v>
      </c>
      <c r="D262" s="94"/>
      <c r="E262" s="94"/>
      <c r="F262" s="94"/>
      <c r="G262" s="94"/>
      <c r="H262" s="94"/>
      <c r="I262" s="94"/>
      <c r="J262" s="94"/>
      <c r="K262" s="94"/>
    </row>
    <row r="263" spans="1:11" x14ac:dyDescent="0.2">
      <c r="A263" s="94"/>
      <c r="B263" s="95">
        <v>257</v>
      </c>
      <c r="C263" s="100">
        <f>50550*E2</f>
        <v>50550</v>
      </c>
      <c r="D263" s="94"/>
      <c r="E263" s="94"/>
      <c r="F263" s="94"/>
      <c r="G263" s="94"/>
      <c r="H263" s="94"/>
      <c r="I263" s="94"/>
      <c r="J263" s="94"/>
      <c r="K263" s="94"/>
    </row>
    <row r="264" spans="1:11" x14ac:dyDescent="0.2">
      <c r="A264" s="94"/>
      <c r="B264" s="95">
        <v>258</v>
      </c>
      <c r="C264" s="100">
        <f>50700*E2</f>
        <v>50700</v>
      </c>
      <c r="D264" s="94"/>
      <c r="E264" s="94"/>
      <c r="F264" s="94"/>
      <c r="G264" s="94"/>
      <c r="H264" s="94"/>
      <c r="I264" s="94"/>
      <c r="J264" s="94"/>
      <c r="K264" s="94"/>
    </row>
    <row r="265" spans="1:11" x14ac:dyDescent="0.2">
      <c r="A265" s="94"/>
      <c r="B265" s="95">
        <v>259</v>
      </c>
      <c r="C265" s="100">
        <f>50850*E2</f>
        <v>50850</v>
      </c>
      <c r="D265" s="94"/>
      <c r="E265" s="94"/>
      <c r="F265" s="94"/>
      <c r="G265" s="94"/>
      <c r="H265" s="94"/>
      <c r="I265" s="94"/>
      <c r="J265" s="94"/>
      <c r="K265" s="94"/>
    </row>
    <row r="266" spans="1:11" x14ac:dyDescent="0.2">
      <c r="A266" s="94"/>
      <c r="B266" s="95">
        <v>260</v>
      </c>
      <c r="C266" s="101">
        <f>51000*E2</f>
        <v>51000</v>
      </c>
      <c r="D266" s="94"/>
      <c r="E266" s="94"/>
      <c r="F266" s="94"/>
      <c r="G266" s="94"/>
      <c r="H266" s="94"/>
      <c r="I266" s="94"/>
      <c r="J266" s="94"/>
      <c r="K266" s="94"/>
    </row>
    <row r="267" spans="1:11" x14ac:dyDescent="0.2">
      <c r="A267" s="94"/>
      <c r="B267" s="95">
        <v>261</v>
      </c>
      <c r="C267" s="100">
        <f>51150*E2</f>
        <v>51150</v>
      </c>
      <c r="D267" s="94"/>
      <c r="E267" s="94"/>
      <c r="F267" s="94"/>
      <c r="G267" s="94"/>
      <c r="H267" s="94"/>
      <c r="I267" s="94"/>
      <c r="J267" s="94"/>
      <c r="K267" s="94"/>
    </row>
    <row r="268" spans="1:11" x14ac:dyDescent="0.2">
      <c r="A268" s="94"/>
      <c r="B268" s="95">
        <v>262</v>
      </c>
      <c r="C268" s="100">
        <f>51300*E2</f>
        <v>51300</v>
      </c>
      <c r="D268" s="94"/>
      <c r="E268" s="94"/>
      <c r="F268" s="94"/>
      <c r="G268" s="94"/>
      <c r="H268" s="94"/>
      <c r="I268" s="94"/>
      <c r="J268" s="94"/>
      <c r="K268" s="94"/>
    </row>
    <row r="269" spans="1:11" x14ac:dyDescent="0.2">
      <c r="A269" s="94"/>
      <c r="B269" s="95">
        <v>263</v>
      </c>
      <c r="C269" s="100">
        <f>51450*E2</f>
        <v>51450</v>
      </c>
      <c r="D269" s="94"/>
      <c r="E269" s="94"/>
      <c r="F269" s="94"/>
      <c r="G269" s="94"/>
      <c r="H269" s="94"/>
      <c r="I269" s="94"/>
      <c r="J269" s="94"/>
      <c r="K269" s="94"/>
    </row>
    <row r="270" spans="1:11" x14ac:dyDescent="0.2">
      <c r="A270" s="94"/>
      <c r="B270" s="95">
        <v>264</v>
      </c>
      <c r="C270" s="100">
        <f>51600*E2</f>
        <v>51600</v>
      </c>
      <c r="D270" s="94"/>
      <c r="E270" s="94"/>
      <c r="F270" s="94"/>
      <c r="G270" s="94"/>
      <c r="H270" s="94"/>
      <c r="I270" s="94"/>
      <c r="J270" s="94"/>
      <c r="K270" s="94"/>
    </row>
    <row r="271" spans="1:11" x14ac:dyDescent="0.2">
      <c r="A271" s="94"/>
      <c r="B271" s="95">
        <v>265</v>
      </c>
      <c r="C271" s="101">
        <f>51750*E2</f>
        <v>51750</v>
      </c>
      <c r="D271" s="94"/>
      <c r="E271" s="94"/>
      <c r="F271" s="94"/>
      <c r="G271" s="94"/>
      <c r="H271" s="94"/>
      <c r="I271" s="94"/>
      <c r="J271" s="94"/>
      <c r="K271" s="94"/>
    </row>
    <row r="272" spans="1:11" x14ac:dyDescent="0.2">
      <c r="A272" s="94"/>
      <c r="B272" s="95">
        <v>266</v>
      </c>
      <c r="C272" s="100">
        <f>51900*E2</f>
        <v>51900</v>
      </c>
      <c r="D272" s="94"/>
      <c r="E272" s="94"/>
      <c r="F272" s="94"/>
      <c r="G272" s="94"/>
      <c r="H272" s="94"/>
      <c r="I272" s="94"/>
      <c r="J272" s="94"/>
      <c r="K272" s="94"/>
    </row>
    <row r="273" spans="1:11" x14ac:dyDescent="0.2">
      <c r="A273" s="94"/>
      <c r="B273" s="95">
        <v>267</v>
      </c>
      <c r="C273" s="100">
        <f>52050*E2</f>
        <v>52050</v>
      </c>
      <c r="D273" s="94"/>
      <c r="E273" s="94"/>
      <c r="F273" s="94"/>
      <c r="G273" s="94"/>
      <c r="H273" s="94"/>
      <c r="I273" s="94"/>
      <c r="J273" s="94"/>
      <c r="K273" s="94"/>
    </row>
    <row r="274" spans="1:11" x14ac:dyDescent="0.2">
      <c r="A274" s="94"/>
      <c r="B274" s="95">
        <v>268</v>
      </c>
      <c r="C274" s="100">
        <f>52200*E2</f>
        <v>52200</v>
      </c>
      <c r="D274" s="94"/>
      <c r="E274" s="94"/>
      <c r="F274" s="94"/>
      <c r="G274" s="94"/>
      <c r="H274" s="94"/>
      <c r="I274" s="94"/>
      <c r="J274" s="94"/>
      <c r="K274" s="94"/>
    </row>
    <row r="275" spans="1:11" x14ac:dyDescent="0.2">
      <c r="A275" s="94"/>
      <c r="B275" s="95">
        <v>269</v>
      </c>
      <c r="C275" s="100">
        <f>52350*E2</f>
        <v>52350</v>
      </c>
      <c r="D275" s="94"/>
      <c r="E275" s="94"/>
      <c r="F275" s="94"/>
      <c r="G275" s="94"/>
      <c r="H275" s="94"/>
      <c r="I275" s="94"/>
      <c r="J275" s="94"/>
      <c r="K275" s="94"/>
    </row>
    <row r="276" spans="1:11" x14ac:dyDescent="0.2">
      <c r="A276" s="94"/>
      <c r="B276" s="95">
        <v>270</v>
      </c>
      <c r="C276" s="101">
        <f>52500*E2</f>
        <v>52500</v>
      </c>
      <c r="D276" s="94"/>
      <c r="E276" s="94"/>
      <c r="F276" s="94"/>
      <c r="G276" s="94"/>
      <c r="H276" s="94"/>
      <c r="I276" s="94"/>
      <c r="J276" s="94"/>
      <c r="K276" s="94"/>
    </row>
    <row r="277" spans="1:11" x14ac:dyDescent="0.2">
      <c r="A277" s="94"/>
      <c r="B277" s="95">
        <v>271</v>
      </c>
      <c r="C277" s="100">
        <f>52650*E2</f>
        <v>52650</v>
      </c>
      <c r="D277" s="94"/>
      <c r="E277" s="94"/>
      <c r="F277" s="94"/>
      <c r="G277" s="94"/>
      <c r="H277" s="94"/>
      <c r="I277" s="94"/>
      <c r="J277" s="94"/>
      <c r="K277" s="94"/>
    </row>
    <row r="278" spans="1:11" x14ac:dyDescent="0.2">
      <c r="A278" s="94"/>
      <c r="B278" s="95">
        <v>272</v>
      </c>
      <c r="C278" s="100">
        <f>52800*E2</f>
        <v>52800</v>
      </c>
      <c r="D278" s="94"/>
      <c r="E278" s="94"/>
      <c r="F278" s="94"/>
      <c r="G278" s="94"/>
      <c r="H278" s="94"/>
      <c r="I278" s="94"/>
      <c r="J278" s="94"/>
      <c r="K278" s="94"/>
    </row>
    <row r="279" spans="1:11" x14ac:dyDescent="0.2">
      <c r="A279" s="94"/>
      <c r="B279" s="95">
        <v>273</v>
      </c>
      <c r="C279" s="100">
        <f>52950*E2</f>
        <v>52950</v>
      </c>
      <c r="D279" s="94"/>
      <c r="E279" s="94"/>
      <c r="F279" s="94"/>
      <c r="G279" s="94"/>
      <c r="H279" s="94"/>
      <c r="I279" s="94"/>
      <c r="J279" s="94"/>
      <c r="K279" s="94"/>
    </row>
    <row r="280" spans="1:11" x14ac:dyDescent="0.2">
      <c r="A280" s="94"/>
      <c r="B280" s="95">
        <v>274</v>
      </c>
      <c r="C280" s="100">
        <f>53100*E2</f>
        <v>53100</v>
      </c>
      <c r="D280" s="94"/>
      <c r="E280" s="94"/>
      <c r="F280" s="94"/>
      <c r="G280" s="94"/>
      <c r="H280" s="94"/>
      <c r="I280" s="94"/>
      <c r="J280" s="94"/>
      <c r="K280" s="94"/>
    </row>
    <row r="281" spans="1:11" x14ac:dyDescent="0.2">
      <c r="A281" s="94"/>
      <c r="B281" s="95">
        <v>275</v>
      </c>
      <c r="C281" s="101">
        <f>53250*E2</f>
        <v>53250</v>
      </c>
      <c r="D281" s="94"/>
      <c r="E281" s="94"/>
      <c r="F281" s="94"/>
      <c r="G281" s="94"/>
      <c r="H281" s="94"/>
      <c r="I281" s="94"/>
      <c r="J281" s="94"/>
      <c r="K281" s="94"/>
    </row>
    <row r="282" spans="1:11" x14ac:dyDescent="0.2">
      <c r="A282" s="94"/>
      <c r="B282" s="95">
        <v>276</v>
      </c>
      <c r="C282" s="100">
        <f>53400*E2</f>
        <v>53400</v>
      </c>
      <c r="D282" s="94"/>
      <c r="E282" s="94"/>
      <c r="F282" s="94"/>
      <c r="G282" s="94"/>
      <c r="H282" s="94"/>
      <c r="I282" s="94"/>
      <c r="J282" s="94"/>
      <c r="K282" s="94"/>
    </row>
    <row r="283" spans="1:11" x14ac:dyDescent="0.2">
      <c r="A283" s="94"/>
      <c r="B283" s="95">
        <v>277</v>
      </c>
      <c r="C283" s="100">
        <f>53550*E2</f>
        <v>53550</v>
      </c>
      <c r="D283" s="94"/>
      <c r="E283" s="94"/>
      <c r="F283" s="94"/>
      <c r="G283" s="94"/>
      <c r="H283" s="94"/>
      <c r="I283" s="94"/>
      <c r="J283" s="94"/>
      <c r="K283" s="94"/>
    </row>
    <row r="284" spans="1:11" x14ac:dyDescent="0.2">
      <c r="A284" s="94"/>
      <c r="B284" s="95">
        <v>278</v>
      </c>
      <c r="C284" s="100">
        <f>53700*E2</f>
        <v>53700</v>
      </c>
      <c r="D284" s="94"/>
      <c r="E284" s="94"/>
      <c r="F284" s="94"/>
      <c r="G284" s="94"/>
      <c r="H284" s="94"/>
      <c r="I284" s="94"/>
      <c r="J284" s="94"/>
      <c r="K284" s="94"/>
    </row>
    <row r="285" spans="1:11" x14ac:dyDescent="0.2">
      <c r="A285" s="94"/>
      <c r="B285" s="95">
        <v>279</v>
      </c>
      <c r="C285" s="100">
        <f>53850*E2</f>
        <v>53850</v>
      </c>
      <c r="D285" s="94"/>
      <c r="E285" s="94"/>
      <c r="F285" s="94"/>
      <c r="G285" s="94"/>
      <c r="H285" s="94"/>
      <c r="I285" s="94"/>
      <c r="J285" s="94"/>
      <c r="K285" s="94"/>
    </row>
    <row r="286" spans="1:11" x14ac:dyDescent="0.2">
      <c r="A286" s="94"/>
      <c r="B286" s="95">
        <v>280</v>
      </c>
      <c r="C286" s="101">
        <f>54000*E2</f>
        <v>54000</v>
      </c>
      <c r="D286" s="94"/>
      <c r="E286" s="94"/>
      <c r="F286" s="94"/>
      <c r="G286" s="94"/>
      <c r="H286" s="94"/>
      <c r="I286" s="94"/>
      <c r="J286" s="94"/>
      <c r="K286" s="94"/>
    </row>
    <row r="287" spans="1:11" x14ac:dyDescent="0.2">
      <c r="A287" s="94"/>
      <c r="B287" s="95">
        <v>281</v>
      </c>
      <c r="C287" s="100">
        <f>54150*E2</f>
        <v>54150</v>
      </c>
      <c r="D287" s="94"/>
      <c r="E287" s="94"/>
      <c r="F287" s="94"/>
      <c r="G287" s="94"/>
      <c r="H287" s="94"/>
      <c r="I287" s="94"/>
      <c r="J287" s="94"/>
      <c r="K287" s="94"/>
    </row>
    <row r="288" spans="1:11" x14ac:dyDescent="0.2">
      <c r="A288" s="94"/>
      <c r="B288" s="106">
        <v>282</v>
      </c>
      <c r="C288" s="100">
        <f>54300*E2</f>
        <v>54300</v>
      </c>
      <c r="D288" s="94"/>
      <c r="E288" s="94"/>
      <c r="F288" s="94"/>
      <c r="G288" s="94"/>
      <c r="H288" s="94"/>
      <c r="I288" s="94"/>
      <c r="J288" s="94"/>
      <c r="K288" s="94"/>
    </row>
    <row r="289" spans="1:11" x14ac:dyDescent="0.2">
      <c r="A289" s="94"/>
      <c r="B289" s="106">
        <v>283</v>
      </c>
      <c r="C289" s="100">
        <f>54450*E2</f>
        <v>54450</v>
      </c>
      <c r="D289" s="94"/>
      <c r="E289" s="94"/>
      <c r="F289" s="94"/>
      <c r="G289" s="94"/>
      <c r="H289" s="94"/>
      <c r="I289" s="94"/>
      <c r="J289" s="94"/>
      <c r="K289" s="94"/>
    </row>
    <row r="290" spans="1:11" x14ac:dyDescent="0.2">
      <c r="A290" s="94"/>
      <c r="B290" s="106">
        <v>284</v>
      </c>
      <c r="C290" s="100">
        <f>54450*E2</f>
        <v>54450</v>
      </c>
      <c r="D290" s="94"/>
      <c r="E290" s="94"/>
      <c r="F290" s="94"/>
      <c r="G290" s="94"/>
      <c r="H290" s="94"/>
      <c r="I290" s="94"/>
      <c r="J290" s="94"/>
      <c r="K290" s="94"/>
    </row>
    <row r="291" spans="1:11" x14ac:dyDescent="0.2">
      <c r="A291" s="94"/>
      <c r="B291" s="106">
        <v>285</v>
      </c>
      <c r="C291" s="101">
        <f>54750*E2</f>
        <v>54750</v>
      </c>
      <c r="D291" s="94"/>
      <c r="E291" s="94"/>
      <c r="F291" s="94"/>
      <c r="G291" s="94"/>
      <c r="H291" s="94"/>
      <c r="I291" s="94"/>
      <c r="J291" s="94"/>
      <c r="K291" s="94"/>
    </row>
    <row r="292" spans="1:11" x14ac:dyDescent="0.2">
      <c r="A292" s="94"/>
      <c r="B292" s="106">
        <v>286</v>
      </c>
      <c r="C292" s="100">
        <f>54900*E2</f>
        <v>54900</v>
      </c>
      <c r="D292" s="94"/>
      <c r="E292" s="94"/>
      <c r="F292" s="94"/>
      <c r="G292" s="94"/>
      <c r="H292" s="94"/>
      <c r="I292" s="94"/>
      <c r="J292" s="94"/>
      <c r="K292" s="94"/>
    </row>
    <row r="293" spans="1:11" x14ac:dyDescent="0.2">
      <c r="A293" s="94"/>
      <c r="B293" s="106">
        <v>287</v>
      </c>
      <c r="C293" s="100">
        <f>55050*E2</f>
        <v>55050</v>
      </c>
      <c r="D293" s="94"/>
      <c r="E293" s="94"/>
      <c r="F293" s="94"/>
      <c r="G293" s="94"/>
      <c r="H293" s="94"/>
      <c r="I293" s="94"/>
      <c r="J293" s="94"/>
      <c r="K293" s="94"/>
    </row>
    <row r="294" spans="1:11" x14ac:dyDescent="0.2">
      <c r="A294" s="94"/>
      <c r="B294" s="106">
        <v>288</v>
      </c>
      <c r="C294" s="100">
        <f>55200*E2</f>
        <v>55200</v>
      </c>
      <c r="D294" s="94"/>
      <c r="E294" s="94"/>
      <c r="F294" s="94"/>
      <c r="G294" s="94"/>
      <c r="H294" s="94"/>
      <c r="I294" s="94"/>
      <c r="J294" s="94"/>
      <c r="K294" s="94"/>
    </row>
    <row r="295" spans="1:11" x14ac:dyDescent="0.2">
      <c r="A295" s="94"/>
      <c r="B295" s="106">
        <v>289</v>
      </c>
      <c r="C295" s="100">
        <f>55350*E2</f>
        <v>55350</v>
      </c>
      <c r="D295" s="94"/>
      <c r="E295" s="94"/>
      <c r="F295" s="94"/>
      <c r="G295" s="94"/>
      <c r="H295" s="94"/>
      <c r="I295" s="94"/>
      <c r="J295" s="94"/>
      <c r="K295" s="94"/>
    </row>
    <row r="296" spans="1:11" x14ac:dyDescent="0.2">
      <c r="A296" s="94"/>
      <c r="B296" s="106">
        <v>290</v>
      </c>
      <c r="C296" s="101">
        <f>55500*E2</f>
        <v>55500</v>
      </c>
      <c r="D296" s="94"/>
      <c r="E296" s="94"/>
      <c r="F296" s="94"/>
      <c r="G296" s="94"/>
      <c r="H296" s="94"/>
      <c r="I296" s="94"/>
      <c r="J296" s="94"/>
      <c r="K296" s="94"/>
    </row>
    <row r="297" spans="1:11" x14ac:dyDescent="0.2">
      <c r="A297" s="94"/>
      <c r="B297" s="106">
        <v>291</v>
      </c>
      <c r="C297" s="100">
        <f>55650*E2</f>
        <v>55650</v>
      </c>
      <c r="D297" s="94"/>
      <c r="E297" s="94"/>
      <c r="F297" s="94"/>
      <c r="G297" s="94"/>
      <c r="H297" s="94"/>
      <c r="I297" s="94"/>
      <c r="J297" s="94"/>
      <c r="K297" s="94"/>
    </row>
    <row r="298" spans="1:11" x14ac:dyDescent="0.2">
      <c r="A298" s="94"/>
      <c r="B298" s="106">
        <v>292</v>
      </c>
      <c r="C298" s="100">
        <f>55800*E2</f>
        <v>55800</v>
      </c>
      <c r="D298" s="94"/>
      <c r="E298" s="94"/>
      <c r="F298" s="94"/>
      <c r="G298" s="94"/>
      <c r="H298" s="94"/>
      <c r="I298" s="94"/>
      <c r="J298" s="94"/>
      <c r="K298" s="94"/>
    </row>
    <row r="299" spans="1:11" x14ac:dyDescent="0.2">
      <c r="A299" s="94"/>
      <c r="B299" s="106">
        <v>293</v>
      </c>
      <c r="C299" s="100">
        <f>55950*E2</f>
        <v>55950</v>
      </c>
      <c r="D299" s="94"/>
      <c r="E299" s="94"/>
      <c r="F299" s="94"/>
      <c r="G299" s="94"/>
      <c r="H299" s="94"/>
      <c r="I299" s="94"/>
      <c r="J299" s="94"/>
      <c r="K299" s="94"/>
    </row>
    <row r="300" spans="1:11" x14ac:dyDescent="0.2">
      <c r="A300" s="94"/>
      <c r="B300" s="106">
        <v>294</v>
      </c>
      <c r="C300" s="100">
        <f>56100*E2</f>
        <v>56100</v>
      </c>
      <c r="D300" s="94"/>
      <c r="E300" s="94"/>
      <c r="F300" s="94"/>
      <c r="G300" s="94"/>
      <c r="H300" s="94"/>
      <c r="I300" s="94"/>
      <c r="J300" s="94"/>
      <c r="K300" s="94"/>
    </row>
    <row r="301" spans="1:11" x14ac:dyDescent="0.2">
      <c r="A301" s="94"/>
      <c r="B301" s="106">
        <v>295</v>
      </c>
      <c r="C301" s="101">
        <f>56250*E2</f>
        <v>56250</v>
      </c>
      <c r="D301" s="94"/>
      <c r="E301" s="94"/>
      <c r="F301" s="94"/>
      <c r="G301" s="94"/>
      <c r="H301" s="94"/>
      <c r="I301" s="94"/>
      <c r="J301" s="94"/>
      <c r="K301" s="94"/>
    </row>
    <row r="302" spans="1:11" x14ac:dyDescent="0.2">
      <c r="A302" s="94"/>
      <c r="B302" s="106">
        <v>296</v>
      </c>
      <c r="C302" s="100">
        <f>56400*E2</f>
        <v>56400</v>
      </c>
      <c r="D302" s="94"/>
      <c r="E302" s="94"/>
      <c r="F302" s="94"/>
      <c r="G302" s="94"/>
      <c r="H302" s="94"/>
      <c r="I302" s="94"/>
      <c r="J302" s="94"/>
      <c r="K302" s="94"/>
    </row>
    <row r="303" spans="1:11" x14ac:dyDescent="0.2">
      <c r="A303" s="94"/>
      <c r="B303" s="106">
        <v>297</v>
      </c>
      <c r="C303" s="100">
        <f>56550*E2</f>
        <v>56550</v>
      </c>
      <c r="D303" s="94"/>
      <c r="E303" s="94"/>
      <c r="F303" s="94"/>
      <c r="G303" s="94"/>
      <c r="H303" s="94"/>
      <c r="I303" s="94"/>
      <c r="J303" s="94"/>
      <c r="K303" s="94"/>
    </row>
    <row r="304" spans="1:11" x14ac:dyDescent="0.2">
      <c r="A304" s="94"/>
      <c r="B304" s="106">
        <v>298</v>
      </c>
      <c r="C304" s="100">
        <f>56700*E2</f>
        <v>56700</v>
      </c>
      <c r="D304" s="94"/>
      <c r="E304" s="94"/>
      <c r="F304" s="94"/>
      <c r="G304" s="94"/>
      <c r="H304" s="94"/>
      <c r="I304" s="94"/>
      <c r="J304" s="94"/>
      <c r="K304" s="94"/>
    </row>
    <row r="305" spans="1:11" x14ac:dyDescent="0.2">
      <c r="A305" s="94"/>
      <c r="B305" s="106">
        <v>299</v>
      </c>
      <c r="C305" s="100">
        <f>56850*E2</f>
        <v>56850</v>
      </c>
      <c r="D305" s="94"/>
      <c r="E305" s="94"/>
      <c r="F305" s="94"/>
      <c r="G305" s="94"/>
      <c r="H305" s="94"/>
      <c r="I305" s="94"/>
      <c r="J305" s="94"/>
      <c r="K305" s="94"/>
    </row>
    <row r="306" spans="1:11" x14ac:dyDescent="0.2">
      <c r="A306" s="94"/>
      <c r="B306" s="106">
        <v>300</v>
      </c>
      <c r="C306" s="101">
        <f>57000*E2</f>
        <v>57000</v>
      </c>
      <c r="D306" s="94"/>
      <c r="E306" s="94"/>
      <c r="F306" s="94"/>
      <c r="G306" s="94"/>
      <c r="H306" s="94"/>
      <c r="I306" s="94"/>
      <c r="J306" s="94"/>
      <c r="K306" s="94"/>
    </row>
    <row r="307" spans="1:11" x14ac:dyDescent="0.2">
      <c r="A307" s="94"/>
      <c r="B307" s="106">
        <v>301</v>
      </c>
      <c r="C307" s="100">
        <f>57150*E2</f>
        <v>57150</v>
      </c>
      <c r="D307" s="94"/>
      <c r="E307" s="94"/>
      <c r="F307" s="94"/>
      <c r="G307" s="94"/>
      <c r="H307" s="94"/>
      <c r="I307" s="94"/>
      <c r="J307" s="94"/>
      <c r="K307" s="94"/>
    </row>
    <row r="308" spans="1:11" x14ac:dyDescent="0.2">
      <c r="A308" s="94"/>
      <c r="B308" s="106">
        <v>302</v>
      </c>
      <c r="C308" s="100">
        <f>57300*E2</f>
        <v>57300</v>
      </c>
      <c r="D308" s="94"/>
      <c r="E308" s="94"/>
      <c r="F308" s="94"/>
      <c r="G308" s="94"/>
      <c r="H308" s="94"/>
      <c r="I308" s="94"/>
      <c r="J308" s="94"/>
      <c r="K308" s="94"/>
    </row>
    <row r="309" spans="1:11" x14ac:dyDescent="0.2">
      <c r="A309" s="94"/>
      <c r="B309" s="106">
        <v>303</v>
      </c>
      <c r="C309" s="100">
        <f>57450*E2</f>
        <v>57450</v>
      </c>
      <c r="D309" s="94"/>
      <c r="E309" s="94"/>
      <c r="F309" s="94"/>
      <c r="G309" s="94"/>
      <c r="H309" s="94"/>
      <c r="I309" s="94"/>
      <c r="J309" s="94"/>
      <c r="K309" s="94"/>
    </row>
    <row r="310" spans="1:11" x14ac:dyDescent="0.2">
      <c r="A310" s="94"/>
      <c r="B310" s="106">
        <v>304</v>
      </c>
      <c r="C310" s="100">
        <f>57600*E2</f>
        <v>57600</v>
      </c>
      <c r="D310" s="94"/>
      <c r="E310" s="94"/>
      <c r="F310" s="94"/>
      <c r="G310" s="94"/>
      <c r="H310" s="94"/>
      <c r="I310" s="94"/>
      <c r="J310" s="94"/>
      <c r="K310" s="94"/>
    </row>
    <row r="311" spans="1:11" x14ac:dyDescent="0.2">
      <c r="A311" s="94"/>
      <c r="B311" s="106">
        <v>305</v>
      </c>
      <c r="C311" s="101">
        <f>57750*E2</f>
        <v>57750</v>
      </c>
      <c r="D311" s="94"/>
      <c r="E311" s="94"/>
      <c r="F311" s="94"/>
      <c r="G311" s="94"/>
      <c r="H311" s="94"/>
      <c r="I311" s="94"/>
      <c r="J311" s="94"/>
      <c r="K311" s="94"/>
    </row>
    <row r="312" spans="1:11" x14ac:dyDescent="0.2">
      <c r="A312" s="94"/>
      <c r="B312" s="106">
        <v>306</v>
      </c>
      <c r="C312" s="100">
        <f>57900*E2</f>
        <v>57900</v>
      </c>
      <c r="D312" s="94"/>
      <c r="E312" s="94"/>
      <c r="F312" s="94"/>
      <c r="G312" s="94"/>
      <c r="H312" s="94"/>
      <c r="I312" s="94"/>
      <c r="J312" s="94"/>
      <c r="K312" s="94"/>
    </row>
    <row r="313" spans="1:11" x14ac:dyDescent="0.2">
      <c r="A313" s="94"/>
      <c r="B313" s="106">
        <v>307</v>
      </c>
      <c r="C313" s="100">
        <f>58050*E2</f>
        <v>58050</v>
      </c>
      <c r="D313" s="94"/>
      <c r="E313" s="94"/>
      <c r="F313" s="94"/>
      <c r="G313" s="94"/>
      <c r="H313" s="94"/>
      <c r="I313" s="94"/>
      <c r="J313" s="94"/>
      <c r="K313" s="94"/>
    </row>
    <row r="314" spans="1:11" x14ac:dyDescent="0.2">
      <c r="A314" s="94"/>
      <c r="B314" s="106">
        <v>308</v>
      </c>
      <c r="C314" s="100">
        <f>58200*E2</f>
        <v>58200</v>
      </c>
      <c r="D314" s="94"/>
      <c r="E314" s="94"/>
      <c r="F314" s="94"/>
      <c r="G314" s="94"/>
      <c r="H314" s="94"/>
      <c r="I314" s="94"/>
      <c r="J314" s="94"/>
      <c r="K314" s="94"/>
    </row>
    <row r="315" spans="1:11" x14ac:dyDescent="0.2">
      <c r="A315" s="94"/>
      <c r="B315" s="106">
        <v>309</v>
      </c>
      <c r="C315" s="100">
        <f>58350*E2</f>
        <v>58350</v>
      </c>
      <c r="D315" s="94"/>
      <c r="E315" s="94"/>
      <c r="F315" s="94"/>
      <c r="G315" s="94"/>
      <c r="H315" s="94"/>
      <c r="I315" s="94"/>
      <c r="J315" s="94"/>
      <c r="K315" s="94"/>
    </row>
    <row r="316" spans="1:11" x14ac:dyDescent="0.2">
      <c r="A316" s="94"/>
      <c r="B316" s="106">
        <v>310</v>
      </c>
      <c r="C316" s="101">
        <f>58500*E2</f>
        <v>58500</v>
      </c>
      <c r="D316" s="94"/>
      <c r="E316" s="94"/>
      <c r="F316" s="94"/>
      <c r="G316" s="94"/>
      <c r="H316" s="94"/>
      <c r="I316" s="94"/>
      <c r="J316" s="94"/>
      <c r="K316" s="94"/>
    </row>
    <row r="317" spans="1:11" x14ac:dyDescent="0.2">
      <c r="A317" s="94"/>
      <c r="B317" s="106">
        <v>311</v>
      </c>
      <c r="C317" s="100">
        <f>58650*E2</f>
        <v>58650</v>
      </c>
      <c r="D317" s="94"/>
      <c r="E317" s="94"/>
      <c r="F317" s="94"/>
      <c r="G317" s="94"/>
      <c r="H317" s="94"/>
      <c r="I317" s="94"/>
      <c r="J317" s="94"/>
      <c r="K317" s="94"/>
    </row>
    <row r="318" spans="1:11" x14ac:dyDescent="0.2">
      <c r="A318" s="94"/>
      <c r="B318" s="106">
        <v>312</v>
      </c>
      <c r="C318" s="100">
        <f>58800*E2</f>
        <v>58800</v>
      </c>
      <c r="D318" s="94"/>
      <c r="E318" s="94"/>
      <c r="F318" s="94"/>
      <c r="G318" s="94"/>
      <c r="H318" s="94"/>
      <c r="I318" s="94"/>
      <c r="J318" s="94"/>
      <c r="K318" s="94"/>
    </row>
    <row r="319" spans="1:11" x14ac:dyDescent="0.2">
      <c r="A319" s="94"/>
      <c r="B319" s="106">
        <v>313</v>
      </c>
      <c r="C319" s="100">
        <f>58950*E2</f>
        <v>58950</v>
      </c>
      <c r="D319" s="94"/>
      <c r="E319" s="94"/>
      <c r="F319" s="94"/>
      <c r="G319" s="94"/>
      <c r="H319" s="94"/>
      <c r="I319" s="94"/>
      <c r="J319" s="94"/>
      <c r="K319" s="94"/>
    </row>
    <row r="320" spans="1:11" x14ac:dyDescent="0.2">
      <c r="A320" s="94"/>
      <c r="B320" s="106">
        <v>314</v>
      </c>
      <c r="C320" s="100">
        <f>59100*E2</f>
        <v>59100</v>
      </c>
      <c r="D320" s="94"/>
      <c r="E320" s="94"/>
      <c r="F320" s="94"/>
      <c r="G320" s="94"/>
      <c r="H320" s="94"/>
      <c r="I320" s="94"/>
      <c r="J320" s="94"/>
      <c r="K320" s="94"/>
    </row>
    <row r="321" spans="1:11" x14ac:dyDescent="0.2">
      <c r="A321" s="94"/>
      <c r="B321" s="106">
        <v>315</v>
      </c>
      <c r="C321" s="101">
        <f>59250*E2</f>
        <v>59250</v>
      </c>
      <c r="D321" s="94"/>
      <c r="E321" s="94"/>
      <c r="F321" s="94"/>
      <c r="G321" s="94"/>
      <c r="H321" s="94"/>
      <c r="I321" s="94"/>
      <c r="J321" s="94"/>
      <c r="K321" s="94"/>
    </row>
    <row r="322" spans="1:11" x14ac:dyDescent="0.2">
      <c r="A322" s="94"/>
      <c r="B322" s="106">
        <v>316</v>
      </c>
      <c r="C322" s="100">
        <f>59400*E2</f>
        <v>59400</v>
      </c>
      <c r="D322" s="94"/>
      <c r="E322" s="94"/>
      <c r="F322" s="94"/>
      <c r="G322" s="94"/>
      <c r="H322" s="94"/>
      <c r="I322" s="94"/>
      <c r="J322" s="94"/>
      <c r="K322" s="94"/>
    </row>
    <row r="323" spans="1:11" x14ac:dyDescent="0.2">
      <c r="A323" s="94"/>
      <c r="B323" s="106">
        <v>317</v>
      </c>
      <c r="C323" s="100">
        <f>59550*E2</f>
        <v>59550</v>
      </c>
      <c r="D323" s="94"/>
      <c r="E323" s="94"/>
      <c r="F323" s="94"/>
      <c r="G323" s="94"/>
      <c r="H323" s="94"/>
      <c r="I323" s="94"/>
      <c r="J323" s="94"/>
      <c r="K323" s="94"/>
    </row>
    <row r="324" spans="1:11" x14ac:dyDescent="0.2">
      <c r="A324" s="94"/>
      <c r="B324" s="106">
        <v>318</v>
      </c>
      <c r="C324" s="100">
        <f>59700*E2</f>
        <v>59700</v>
      </c>
      <c r="D324" s="94"/>
      <c r="E324" s="94"/>
      <c r="F324" s="94"/>
      <c r="G324" s="94"/>
      <c r="H324" s="94"/>
      <c r="I324" s="94"/>
      <c r="J324" s="94"/>
      <c r="K324" s="94"/>
    </row>
    <row r="325" spans="1:11" x14ac:dyDescent="0.2">
      <c r="A325" s="94"/>
      <c r="B325" s="106">
        <v>319</v>
      </c>
      <c r="C325" s="100">
        <f>59850*E2</f>
        <v>59850</v>
      </c>
      <c r="D325" s="94"/>
      <c r="E325" s="94"/>
      <c r="F325" s="94"/>
      <c r="G325" s="94"/>
      <c r="H325" s="94"/>
      <c r="I325" s="94"/>
      <c r="J325" s="94"/>
      <c r="K325" s="94"/>
    </row>
    <row r="326" spans="1:11" x14ac:dyDescent="0.2">
      <c r="A326" s="94"/>
      <c r="B326" s="106">
        <v>320</v>
      </c>
      <c r="C326" s="101">
        <f>60000*E2</f>
        <v>60000</v>
      </c>
      <c r="D326" s="94"/>
      <c r="E326" s="94"/>
      <c r="F326" s="94"/>
      <c r="G326" s="94"/>
      <c r="H326" s="94"/>
      <c r="I326" s="94"/>
      <c r="J326" s="94"/>
      <c r="K326" s="94"/>
    </row>
    <row r="327" spans="1:11" x14ac:dyDescent="0.2">
      <c r="A327" s="94"/>
      <c r="B327" s="95">
        <v>321</v>
      </c>
      <c r="C327" s="100">
        <f>60150*E2</f>
        <v>60150</v>
      </c>
      <c r="D327" s="94"/>
      <c r="E327" s="94"/>
      <c r="F327" s="94"/>
      <c r="G327" s="94"/>
      <c r="H327" s="94"/>
      <c r="I327" s="94"/>
      <c r="J327" s="94"/>
      <c r="K327" s="94"/>
    </row>
    <row r="328" spans="1:11" x14ac:dyDescent="0.2">
      <c r="A328" s="94"/>
      <c r="B328" s="95">
        <v>322</v>
      </c>
      <c r="C328" s="100">
        <f>60300*E2</f>
        <v>60300</v>
      </c>
      <c r="D328" s="94"/>
      <c r="E328" s="94"/>
      <c r="F328" s="94"/>
      <c r="G328" s="94"/>
      <c r="H328" s="94"/>
      <c r="I328" s="94"/>
      <c r="J328" s="94"/>
      <c r="K328" s="94"/>
    </row>
    <row r="329" spans="1:11" x14ac:dyDescent="0.2">
      <c r="A329" s="94"/>
      <c r="B329" s="95">
        <v>323</v>
      </c>
      <c r="C329" s="100">
        <f>60450*E2</f>
        <v>60450</v>
      </c>
      <c r="D329" s="94"/>
      <c r="E329" s="94"/>
      <c r="F329" s="94"/>
      <c r="G329" s="94"/>
      <c r="H329" s="94"/>
      <c r="I329" s="94"/>
      <c r="J329" s="94"/>
      <c r="K329" s="94"/>
    </row>
    <row r="330" spans="1:11" x14ac:dyDescent="0.2">
      <c r="A330" s="94"/>
      <c r="B330" s="95">
        <v>324</v>
      </c>
      <c r="C330" s="100">
        <f>60600*E2</f>
        <v>60600</v>
      </c>
      <c r="D330" s="94"/>
      <c r="E330" s="94"/>
      <c r="F330" s="94"/>
      <c r="G330" s="94"/>
      <c r="H330" s="94"/>
      <c r="I330" s="94"/>
      <c r="J330" s="94"/>
      <c r="K330" s="94"/>
    </row>
    <row r="331" spans="1:11" x14ac:dyDescent="0.2">
      <c r="A331" s="94"/>
      <c r="B331" s="95">
        <v>325</v>
      </c>
      <c r="C331" s="101">
        <f>60750*E2</f>
        <v>60750</v>
      </c>
      <c r="D331" s="94"/>
      <c r="E331" s="94"/>
      <c r="F331" s="94"/>
      <c r="G331" s="94"/>
      <c r="H331" s="94"/>
      <c r="I331" s="94"/>
      <c r="J331" s="94"/>
      <c r="K331" s="94"/>
    </row>
    <row r="332" spans="1:11" x14ac:dyDescent="0.2">
      <c r="A332" s="94"/>
      <c r="B332" s="95">
        <v>326</v>
      </c>
      <c r="C332" s="100">
        <f>60900*E2</f>
        <v>60900</v>
      </c>
      <c r="D332" s="94"/>
      <c r="E332" s="94"/>
      <c r="F332" s="94"/>
      <c r="G332" s="94"/>
      <c r="H332" s="94"/>
      <c r="I332" s="94"/>
      <c r="J332" s="94"/>
      <c r="K332" s="94"/>
    </row>
    <row r="333" spans="1:11" x14ac:dyDescent="0.2">
      <c r="A333" s="94"/>
      <c r="B333" s="95">
        <v>327</v>
      </c>
      <c r="C333" s="100">
        <f>61050*E2</f>
        <v>61050</v>
      </c>
      <c r="D333" s="94"/>
      <c r="E333" s="94"/>
      <c r="F333" s="94"/>
      <c r="G333" s="94"/>
      <c r="H333" s="94"/>
      <c r="I333" s="94"/>
      <c r="J333" s="94"/>
      <c r="K333" s="94"/>
    </row>
    <row r="334" spans="1:11" x14ac:dyDescent="0.2">
      <c r="A334" s="94"/>
      <c r="B334" s="95">
        <v>328</v>
      </c>
      <c r="C334" s="100">
        <f>61200*E2</f>
        <v>61200</v>
      </c>
      <c r="D334" s="94"/>
      <c r="E334" s="94"/>
      <c r="F334" s="94"/>
      <c r="G334" s="94"/>
      <c r="H334" s="94"/>
      <c r="I334" s="94"/>
      <c r="J334" s="94"/>
      <c r="K334" s="94"/>
    </row>
    <row r="335" spans="1:11" x14ac:dyDescent="0.2">
      <c r="A335" s="94"/>
      <c r="B335" s="95">
        <v>329</v>
      </c>
      <c r="C335" s="100">
        <f>61350*E2</f>
        <v>61350</v>
      </c>
      <c r="D335" s="94"/>
      <c r="E335" s="94"/>
      <c r="F335" s="94"/>
      <c r="G335" s="94"/>
      <c r="H335" s="94"/>
      <c r="I335" s="94"/>
      <c r="J335" s="94"/>
      <c r="K335" s="94"/>
    </row>
    <row r="336" spans="1:11" x14ac:dyDescent="0.2">
      <c r="A336" s="94"/>
      <c r="B336" s="95">
        <v>330</v>
      </c>
      <c r="C336" s="101">
        <f>61500*E2</f>
        <v>61500</v>
      </c>
      <c r="D336" s="94"/>
      <c r="E336" s="94"/>
      <c r="F336" s="94"/>
      <c r="G336" s="94"/>
      <c r="H336" s="94"/>
      <c r="I336" s="94"/>
      <c r="J336" s="94"/>
      <c r="K336" s="94"/>
    </row>
    <row r="337" spans="1:11" x14ac:dyDescent="0.2">
      <c r="A337" s="94"/>
      <c r="B337" s="95">
        <v>331</v>
      </c>
      <c r="C337" s="100">
        <f>61650*E2</f>
        <v>61650</v>
      </c>
      <c r="D337" s="94"/>
      <c r="E337" s="94"/>
      <c r="F337" s="94"/>
      <c r="G337" s="94"/>
      <c r="H337" s="94"/>
      <c r="I337" s="94"/>
      <c r="J337" s="94"/>
      <c r="K337" s="94"/>
    </row>
    <row r="338" spans="1:11" x14ac:dyDescent="0.2">
      <c r="A338" s="94"/>
      <c r="B338" s="95">
        <v>332</v>
      </c>
      <c r="C338" s="100">
        <f>61800*E2</f>
        <v>61800</v>
      </c>
      <c r="D338" s="94"/>
      <c r="E338" s="94"/>
      <c r="F338" s="94"/>
      <c r="G338" s="94"/>
      <c r="H338" s="94"/>
      <c r="I338" s="94"/>
      <c r="J338" s="94"/>
      <c r="K338" s="94"/>
    </row>
    <row r="339" spans="1:11" x14ac:dyDescent="0.2">
      <c r="A339" s="94"/>
      <c r="B339" s="95">
        <v>333</v>
      </c>
      <c r="C339" s="100">
        <f>61950*E2</f>
        <v>61950</v>
      </c>
      <c r="D339" s="94"/>
      <c r="E339" s="94"/>
      <c r="F339" s="94"/>
      <c r="G339" s="94"/>
      <c r="H339" s="94"/>
      <c r="I339" s="94"/>
      <c r="J339" s="94"/>
      <c r="K339" s="94"/>
    </row>
    <row r="340" spans="1:11" x14ac:dyDescent="0.2">
      <c r="A340" s="94"/>
      <c r="B340" s="95">
        <v>334</v>
      </c>
      <c r="C340" s="100">
        <f>62100*E2</f>
        <v>62100</v>
      </c>
      <c r="D340" s="94"/>
      <c r="E340" s="94"/>
      <c r="F340" s="94"/>
      <c r="G340" s="94"/>
      <c r="H340" s="94"/>
      <c r="I340" s="94"/>
      <c r="J340" s="94"/>
      <c r="K340" s="94"/>
    </row>
    <row r="341" spans="1:11" x14ac:dyDescent="0.2">
      <c r="A341" s="94"/>
      <c r="B341" s="95">
        <v>335</v>
      </c>
      <c r="C341" s="101">
        <f>62250*E2</f>
        <v>62250</v>
      </c>
      <c r="D341" s="94"/>
      <c r="E341" s="94"/>
      <c r="F341" s="94"/>
      <c r="G341" s="94"/>
      <c r="H341" s="94"/>
      <c r="I341" s="94"/>
      <c r="J341" s="94"/>
      <c r="K341" s="94"/>
    </row>
    <row r="342" spans="1:11" x14ac:dyDescent="0.2">
      <c r="A342" s="94"/>
      <c r="B342" s="95">
        <v>336</v>
      </c>
      <c r="C342" s="100">
        <f>62400*E2</f>
        <v>62400</v>
      </c>
      <c r="D342" s="94"/>
      <c r="E342" s="94"/>
      <c r="F342" s="94"/>
      <c r="G342" s="94"/>
      <c r="H342" s="94"/>
      <c r="I342" s="94"/>
      <c r="J342" s="94"/>
      <c r="K342" s="94"/>
    </row>
    <row r="343" spans="1:11" x14ac:dyDescent="0.2">
      <c r="A343" s="94"/>
      <c r="B343" s="95">
        <v>337</v>
      </c>
      <c r="C343" s="100">
        <f>62550*E2</f>
        <v>62550</v>
      </c>
      <c r="D343" s="94"/>
      <c r="E343" s="94"/>
      <c r="F343" s="94"/>
      <c r="G343" s="94"/>
      <c r="H343" s="94"/>
      <c r="I343" s="94"/>
      <c r="J343" s="94"/>
      <c r="K343" s="94"/>
    </row>
    <row r="344" spans="1:11" x14ac:dyDescent="0.2">
      <c r="A344" s="94"/>
      <c r="B344" s="95">
        <v>338</v>
      </c>
      <c r="C344" s="100">
        <f>62700*E2</f>
        <v>62700</v>
      </c>
      <c r="D344" s="94"/>
      <c r="E344" s="94"/>
      <c r="F344" s="94"/>
      <c r="G344" s="94"/>
      <c r="H344" s="94"/>
      <c r="I344" s="94"/>
      <c r="J344" s="94"/>
      <c r="K344" s="94"/>
    </row>
    <row r="345" spans="1:11" x14ac:dyDescent="0.2">
      <c r="A345" s="94"/>
      <c r="B345" s="95">
        <v>339</v>
      </c>
      <c r="C345" s="100">
        <f>62850*E2</f>
        <v>62850</v>
      </c>
      <c r="D345" s="94"/>
      <c r="E345" s="94"/>
      <c r="F345" s="94"/>
      <c r="G345" s="94"/>
      <c r="H345" s="94"/>
      <c r="I345" s="94"/>
      <c r="J345" s="94"/>
      <c r="K345" s="94"/>
    </row>
    <row r="346" spans="1:11" x14ac:dyDescent="0.2">
      <c r="A346" s="94"/>
      <c r="B346" s="95">
        <v>340</v>
      </c>
      <c r="C346" s="101">
        <f>63000*E2</f>
        <v>63000</v>
      </c>
      <c r="D346" s="94"/>
      <c r="E346" s="94"/>
      <c r="F346" s="94"/>
      <c r="G346" s="94"/>
      <c r="H346" s="94"/>
      <c r="I346" s="94"/>
      <c r="J346" s="94"/>
      <c r="K346" s="94"/>
    </row>
    <row r="347" spans="1:11" x14ac:dyDescent="0.2">
      <c r="A347" s="94"/>
      <c r="B347" s="95">
        <v>341</v>
      </c>
      <c r="C347" s="100">
        <f>63150*E2</f>
        <v>63150</v>
      </c>
      <c r="D347" s="94"/>
      <c r="E347" s="94"/>
      <c r="F347" s="94"/>
      <c r="G347" s="94"/>
      <c r="H347" s="94"/>
      <c r="I347" s="94"/>
      <c r="J347" s="94"/>
      <c r="K347" s="94"/>
    </row>
    <row r="348" spans="1:11" x14ac:dyDescent="0.2">
      <c r="A348" s="94"/>
      <c r="B348" s="95">
        <v>342</v>
      </c>
      <c r="C348" s="100">
        <f>63300*E2</f>
        <v>63300</v>
      </c>
      <c r="D348" s="94"/>
      <c r="E348" s="94"/>
      <c r="F348" s="94"/>
      <c r="G348" s="94"/>
      <c r="H348" s="94"/>
      <c r="I348" s="94"/>
      <c r="J348" s="94"/>
      <c r="K348" s="94"/>
    </row>
    <row r="349" spans="1:11" x14ac:dyDescent="0.2">
      <c r="A349" s="94"/>
      <c r="B349" s="95">
        <v>343</v>
      </c>
      <c r="C349" s="100">
        <f>63450*E2</f>
        <v>63450</v>
      </c>
      <c r="D349" s="94"/>
      <c r="E349" s="94"/>
      <c r="F349" s="94"/>
      <c r="G349" s="94"/>
      <c r="H349" s="94"/>
      <c r="I349" s="94"/>
      <c r="J349" s="94"/>
      <c r="K349" s="94"/>
    </row>
    <row r="350" spans="1:11" x14ac:dyDescent="0.2">
      <c r="A350" s="94"/>
      <c r="B350" s="95">
        <v>344</v>
      </c>
      <c r="C350" s="100">
        <f>63600*E2</f>
        <v>63600</v>
      </c>
      <c r="D350" s="94"/>
      <c r="E350" s="94"/>
      <c r="F350" s="94"/>
      <c r="G350" s="94"/>
      <c r="H350" s="94"/>
      <c r="I350" s="94"/>
      <c r="J350" s="94"/>
      <c r="K350" s="94"/>
    </row>
    <row r="351" spans="1:11" x14ac:dyDescent="0.2">
      <c r="A351" s="94"/>
      <c r="B351" s="95">
        <v>345</v>
      </c>
      <c r="C351" s="101">
        <f>63750*E2</f>
        <v>63750</v>
      </c>
      <c r="D351" s="94"/>
      <c r="E351" s="94"/>
      <c r="F351" s="94"/>
      <c r="G351" s="94"/>
      <c r="H351" s="94"/>
      <c r="I351" s="94"/>
      <c r="J351" s="94"/>
      <c r="K351" s="94"/>
    </row>
    <row r="352" spans="1:11" x14ac:dyDescent="0.2">
      <c r="A352" s="94"/>
      <c r="B352" s="95">
        <v>346</v>
      </c>
      <c r="C352" s="100">
        <f>63900*E2</f>
        <v>63900</v>
      </c>
      <c r="D352" s="94"/>
      <c r="E352" s="94"/>
      <c r="F352" s="94"/>
      <c r="G352" s="94"/>
      <c r="H352" s="94"/>
      <c r="I352" s="94"/>
      <c r="J352" s="94"/>
      <c r="K352" s="94"/>
    </row>
    <row r="353" spans="1:11" x14ac:dyDescent="0.2">
      <c r="A353" s="94"/>
      <c r="B353" s="95">
        <v>347</v>
      </c>
      <c r="C353" s="100">
        <f>64050*E2</f>
        <v>64050</v>
      </c>
      <c r="D353" s="94"/>
      <c r="E353" s="94"/>
      <c r="F353" s="94"/>
      <c r="G353" s="94"/>
      <c r="H353" s="94"/>
      <c r="I353" s="94"/>
      <c r="J353" s="94"/>
      <c r="K353" s="94"/>
    </row>
    <row r="354" spans="1:11" x14ac:dyDescent="0.2">
      <c r="A354" s="94"/>
      <c r="B354" s="95">
        <v>348</v>
      </c>
      <c r="C354" s="100">
        <f>64200*E2</f>
        <v>64200</v>
      </c>
      <c r="D354" s="94"/>
      <c r="E354" s="94"/>
      <c r="F354" s="94"/>
      <c r="G354" s="94"/>
      <c r="H354" s="94"/>
      <c r="I354" s="94"/>
      <c r="J354" s="94"/>
      <c r="K354" s="94"/>
    </row>
    <row r="355" spans="1:11" x14ac:dyDescent="0.2">
      <c r="A355" s="94"/>
      <c r="B355" s="95">
        <v>349</v>
      </c>
      <c r="C355" s="100">
        <f>64350*E2</f>
        <v>64350</v>
      </c>
      <c r="D355" s="94"/>
      <c r="E355" s="94"/>
      <c r="F355" s="94"/>
      <c r="G355" s="94"/>
      <c r="H355" s="94"/>
      <c r="I355" s="94"/>
      <c r="J355" s="94"/>
      <c r="K355" s="94"/>
    </row>
    <row r="356" spans="1:11" x14ac:dyDescent="0.2">
      <c r="A356" s="94"/>
      <c r="B356" s="95">
        <v>350</v>
      </c>
      <c r="C356" s="101">
        <f>64500*E2</f>
        <v>64500</v>
      </c>
      <c r="D356" s="94"/>
      <c r="E356" s="94"/>
      <c r="F356" s="94"/>
      <c r="G356" s="94"/>
      <c r="H356" s="94"/>
      <c r="I356" s="94"/>
      <c r="J356" s="94"/>
      <c r="K356" s="94"/>
    </row>
    <row r="357" spans="1:11" x14ac:dyDescent="0.2">
      <c r="A357" s="94"/>
      <c r="B357" s="95">
        <v>351</v>
      </c>
      <c r="C357" s="100">
        <f>64650*E2</f>
        <v>64650</v>
      </c>
      <c r="D357" s="94"/>
      <c r="E357" s="94"/>
      <c r="F357" s="94"/>
      <c r="G357" s="94"/>
      <c r="H357" s="94"/>
      <c r="I357" s="94"/>
      <c r="J357" s="94"/>
      <c r="K357" s="94"/>
    </row>
    <row r="358" spans="1:11" x14ac:dyDescent="0.2">
      <c r="A358" s="94"/>
      <c r="B358" s="95">
        <v>352</v>
      </c>
      <c r="C358" s="100">
        <f>64800*E2</f>
        <v>64800</v>
      </c>
      <c r="D358" s="94"/>
      <c r="E358" s="94"/>
      <c r="F358" s="94"/>
      <c r="G358" s="94"/>
      <c r="H358" s="94"/>
      <c r="I358" s="94"/>
      <c r="J358" s="94"/>
      <c r="K358" s="94"/>
    </row>
    <row r="359" spans="1:11" x14ac:dyDescent="0.2">
      <c r="A359" s="94"/>
      <c r="B359" s="95">
        <v>353</v>
      </c>
      <c r="C359" s="100">
        <f>64950*E2</f>
        <v>64950</v>
      </c>
      <c r="D359" s="94"/>
      <c r="E359" s="94"/>
      <c r="F359" s="94"/>
      <c r="G359" s="94"/>
      <c r="H359" s="94"/>
      <c r="I359" s="94"/>
      <c r="J359" s="94"/>
      <c r="K359" s="94"/>
    </row>
    <row r="360" spans="1:11" x14ac:dyDescent="0.2">
      <c r="A360" s="94"/>
      <c r="B360" s="95">
        <v>354</v>
      </c>
      <c r="C360" s="100">
        <f>65100*E2</f>
        <v>65100</v>
      </c>
      <c r="D360" s="94"/>
      <c r="E360" s="94"/>
      <c r="F360" s="94"/>
      <c r="G360" s="94"/>
      <c r="H360" s="94"/>
      <c r="I360" s="94"/>
      <c r="J360" s="94"/>
      <c r="K360" s="94"/>
    </row>
    <row r="361" spans="1:11" x14ac:dyDescent="0.2">
      <c r="A361" s="94"/>
      <c r="B361" s="95">
        <v>355</v>
      </c>
      <c r="C361" s="101">
        <f>65250*E2</f>
        <v>65250</v>
      </c>
      <c r="D361" s="94"/>
      <c r="E361" s="94"/>
      <c r="F361" s="94"/>
      <c r="G361" s="94"/>
      <c r="H361" s="94"/>
      <c r="I361" s="94"/>
      <c r="J361" s="94"/>
      <c r="K361" s="94"/>
    </row>
    <row r="362" spans="1:11" x14ac:dyDescent="0.2">
      <c r="A362" s="94"/>
      <c r="B362" s="95">
        <v>356</v>
      </c>
      <c r="C362" s="100">
        <f>65400*E2</f>
        <v>65400</v>
      </c>
      <c r="D362" s="94"/>
      <c r="E362" s="94"/>
      <c r="F362" s="94"/>
      <c r="G362" s="94"/>
      <c r="H362" s="94"/>
      <c r="I362" s="94"/>
      <c r="J362" s="94"/>
      <c r="K362" s="94"/>
    </row>
    <row r="363" spans="1:11" x14ac:dyDescent="0.2">
      <c r="A363" s="94"/>
      <c r="B363" s="95">
        <v>357</v>
      </c>
      <c r="C363" s="100">
        <f>65550*E2</f>
        <v>65550</v>
      </c>
      <c r="D363" s="94"/>
      <c r="E363" s="94"/>
      <c r="F363" s="94"/>
      <c r="G363" s="94"/>
      <c r="H363" s="94"/>
      <c r="I363" s="94"/>
      <c r="J363" s="94"/>
      <c r="K363" s="94"/>
    </row>
    <row r="364" spans="1:11" x14ac:dyDescent="0.2">
      <c r="A364" s="94"/>
      <c r="B364" s="95">
        <v>358</v>
      </c>
      <c r="C364" s="100">
        <f>65700*E2</f>
        <v>65700</v>
      </c>
      <c r="D364" s="94"/>
      <c r="E364" s="94"/>
      <c r="F364" s="94"/>
      <c r="G364" s="94"/>
      <c r="H364" s="94"/>
      <c r="I364" s="94"/>
      <c r="J364" s="94"/>
      <c r="K364" s="94"/>
    </row>
    <row r="365" spans="1:11" x14ac:dyDescent="0.2">
      <c r="A365" s="94"/>
      <c r="B365" s="95">
        <v>359</v>
      </c>
      <c r="C365" s="100">
        <f>65850*E2</f>
        <v>65850</v>
      </c>
      <c r="D365" s="94"/>
      <c r="E365" s="94"/>
      <c r="F365" s="94"/>
      <c r="G365" s="94"/>
      <c r="H365" s="94"/>
      <c r="I365" s="94"/>
      <c r="J365" s="94"/>
      <c r="K365" s="94"/>
    </row>
    <row r="366" spans="1:11" x14ac:dyDescent="0.2">
      <c r="A366" s="94"/>
      <c r="B366" s="95">
        <v>360</v>
      </c>
      <c r="C366" s="101">
        <f>66000*E2</f>
        <v>66000</v>
      </c>
      <c r="D366" s="94"/>
      <c r="E366" s="94"/>
      <c r="F366" s="94"/>
      <c r="G366" s="94"/>
      <c r="H366" s="94"/>
      <c r="I366" s="94"/>
      <c r="J366" s="94"/>
      <c r="K366" s="94"/>
    </row>
    <row r="367" spans="1:11" x14ac:dyDescent="0.2">
      <c r="A367" s="94"/>
      <c r="B367" s="95">
        <v>361</v>
      </c>
      <c r="C367" s="100">
        <f>66150*E2</f>
        <v>66150</v>
      </c>
      <c r="D367" s="94"/>
      <c r="E367" s="94"/>
      <c r="F367" s="94"/>
      <c r="G367" s="94"/>
      <c r="H367" s="94"/>
      <c r="I367" s="94"/>
      <c r="J367" s="94"/>
      <c r="K367" s="94"/>
    </row>
    <row r="368" spans="1:11" x14ac:dyDescent="0.2">
      <c r="A368" s="94"/>
      <c r="B368" s="95">
        <v>362</v>
      </c>
      <c r="C368" s="100">
        <f>66300*E2</f>
        <v>66300</v>
      </c>
      <c r="D368" s="94"/>
      <c r="E368" s="94"/>
      <c r="F368" s="94"/>
      <c r="G368" s="94"/>
      <c r="H368" s="94"/>
      <c r="I368" s="94"/>
      <c r="J368" s="94"/>
      <c r="K368" s="94"/>
    </row>
    <row r="369" spans="1:11" x14ac:dyDescent="0.2">
      <c r="A369" s="94"/>
      <c r="B369" s="95">
        <v>363</v>
      </c>
      <c r="C369" s="100">
        <f>66450*E2</f>
        <v>66450</v>
      </c>
      <c r="D369" s="94"/>
      <c r="E369" s="94"/>
      <c r="F369" s="94"/>
      <c r="G369" s="94"/>
      <c r="H369" s="94"/>
      <c r="I369" s="94"/>
      <c r="J369" s="94"/>
      <c r="K369" s="94"/>
    </row>
    <row r="370" spans="1:11" x14ac:dyDescent="0.2">
      <c r="A370" s="94"/>
      <c r="B370" s="95">
        <v>364</v>
      </c>
      <c r="C370" s="100">
        <f>66600*E2</f>
        <v>66600</v>
      </c>
      <c r="D370" s="94"/>
      <c r="E370" s="94"/>
      <c r="F370" s="94"/>
      <c r="G370" s="94"/>
      <c r="H370" s="94"/>
      <c r="I370" s="94"/>
      <c r="J370" s="94"/>
      <c r="K370" s="94"/>
    </row>
    <row r="371" spans="1:11" x14ac:dyDescent="0.2">
      <c r="A371" s="94"/>
      <c r="B371" s="95">
        <v>365</v>
      </c>
      <c r="C371" s="101">
        <f>66750*E2</f>
        <v>66750</v>
      </c>
      <c r="D371" s="94"/>
      <c r="E371" s="94"/>
      <c r="F371" s="94"/>
      <c r="G371" s="94"/>
      <c r="H371" s="94"/>
      <c r="I371" s="94"/>
      <c r="J371" s="94"/>
      <c r="K371" s="94"/>
    </row>
    <row r="372" spans="1:11" x14ac:dyDescent="0.2">
      <c r="A372" s="94"/>
      <c r="B372" s="95">
        <v>366</v>
      </c>
      <c r="C372" s="100">
        <f>66900*E2</f>
        <v>66900</v>
      </c>
      <c r="D372" s="94"/>
      <c r="E372" s="94"/>
      <c r="F372" s="94"/>
      <c r="G372" s="94"/>
      <c r="H372" s="94"/>
      <c r="I372" s="94"/>
      <c r="J372" s="94"/>
      <c r="K372" s="94"/>
    </row>
    <row r="373" spans="1:11" x14ac:dyDescent="0.2">
      <c r="A373" s="94"/>
      <c r="B373" s="95">
        <v>367</v>
      </c>
      <c r="C373" s="100">
        <f>67050*E2</f>
        <v>67050</v>
      </c>
      <c r="D373" s="94"/>
      <c r="E373" s="94"/>
      <c r="F373" s="94"/>
      <c r="G373" s="94"/>
      <c r="H373" s="94"/>
      <c r="I373" s="94"/>
      <c r="J373" s="94"/>
      <c r="K373" s="94"/>
    </row>
    <row r="374" spans="1:11" x14ac:dyDescent="0.2">
      <c r="A374" s="94"/>
      <c r="B374" s="95">
        <v>368</v>
      </c>
      <c r="C374" s="100">
        <f>67200*E2</f>
        <v>67200</v>
      </c>
      <c r="D374" s="94"/>
      <c r="E374" s="94"/>
      <c r="F374" s="94"/>
      <c r="G374" s="94"/>
      <c r="H374" s="94"/>
      <c r="I374" s="94"/>
      <c r="J374" s="94"/>
      <c r="K374" s="94"/>
    </row>
    <row r="375" spans="1:11" x14ac:dyDescent="0.2">
      <c r="A375" s="94"/>
      <c r="B375" s="95">
        <v>369</v>
      </c>
      <c r="C375" s="100">
        <f>67350*E2</f>
        <v>67350</v>
      </c>
      <c r="D375" s="94"/>
      <c r="E375" s="94"/>
      <c r="F375" s="94"/>
      <c r="G375" s="94"/>
      <c r="H375" s="94"/>
      <c r="I375" s="94"/>
      <c r="J375" s="94"/>
      <c r="K375" s="94"/>
    </row>
    <row r="376" spans="1:11" x14ac:dyDescent="0.2">
      <c r="A376" s="94"/>
      <c r="B376" s="95">
        <v>370</v>
      </c>
      <c r="C376" s="101">
        <f>67500*E2</f>
        <v>67500</v>
      </c>
      <c r="D376" s="94"/>
      <c r="E376" s="94"/>
      <c r="F376" s="94"/>
      <c r="G376" s="94"/>
      <c r="H376" s="94"/>
      <c r="I376" s="94"/>
      <c r="J376" s="94"/>
      <c r="K376" s="94"/>
    </row>
    <row r="377" spans="1:11" x14ac:dyDescent="0.2">
      <c r="A377" s="94"/>
      <c r="B377" s="95">
        <v>371</v>
      </c>
      <c r="C377" s="100">
        <f>67650*E2</f>
        <v>67650</v>
      </c>
      <c r="D377" s="94"/>
      <c r="E377" s="94"/>
      <c r="F377" s="94"/>
      <c r="G377" s="94"/>
      <c r="H377" s="94"/>
      <c r="I377" s="94"/>
      <c r="J377" s="94"/>
      <c r="K377" s="94"/>
    </row>
    <row r="378" spans="1:11" x14ac:dyDescent="0.2">
      <c r="A378" s="94"/>
      <c r="B378" s="95">
        <v>372</v>
      </c>
      <c r="C378" s="100">
        <f>37800*E2</f>
        <v>37800</v>
      </c>
      <c r="D378" s="94"/>
      <c r="E378" s="94"/>
      <c r="F378" s="94"/>
      <c r="G378" s="94"/>
      <c r="H378" s="94"/>
      <c r="I378" s="94"/>
      <c r="J378" s="94"/>
      <c r="K378" s="94"/>
    </row>
    <row r="379" spans="1:11" x14ac:dyDescent="0.2">
      <c r="A379" s="94"/>
      <c r="B379" s="95">
        <v>373</v>
      </c>
      <c r="C379" s="100">
        <f>67950*E2</f>
        <v>67950</v>
      </c>
      <c r="D379" s="94"/>
      <c r="E379" s="94"/>
      <c r="F379" s="94"/>
      <c r="G379" s="94"/>
      <c r="H379" s="94"/>
      <c r="I379" s="94"/>
      <c r="J379" s="94"/>
      <c r="K379" s="94"/>
    </row>
    <row r="380" spans="1:11" x14ac:dyDescent="0.2">
      <c r="A380" s="94"/>
      <c r="B380" s="95">
        <v>374</v>
      </c>
      <c r="C380" s="100">
        <f>68100*E2</f>
        <v>68100</v>
      </c>
      <c r="D380" s="94"/>
      <c r="E380" s="94"/>
      <c r="F380" s="94"/>
      <c r="G380" s="94"/>
      <c r="H380" s="94"/>
      <c r="I380" s="94"/>
      <c r="J380" s="94"/>
      <c r="K380" s="94"/>
    </row>
    <row r="381" spans="1:11" x14ac:dyDescent="0.2">
      <c r="A381" s="94"/>
      <c r="B381" s="95">
        <v>375</v>
      </c>
      <c r="C381" s="101">
        <f>68250*E2</f>
        <v>68250</v>
      </c>
      <c r="D381" s="94"/>
      <c r="E381" s="94"/>
      <c r="F381" s="94"/>
      <c r="G381" s="94"/>
      <c r="H381" s="94"/>
      <c r="I381" s="94"/>
      <c r="J381" s="94"/>
      <c r="K381" s="94"/>
    </row>
    <row r="382" spans="1:11" x14ac:dyDescent="0.2">
      <c r="A382" s="94"/>
      <c r="B382" s="95">
        <v>376</v>
      </c>
      <c r="C382" s="100">
        <f>68400*E2</f>
        <v>68400</v>
      </c>
      <c r="D382" s="94"/>
      <c r="E382" s="94"/>
      <c r="F382" s="94"/>
      <c r="G382" s="94"/>
      <c r="H382" s="94"/>
      <c r="I382" s="94"/>
      <c r="J382" s="94"/>
      <c r="K382" s="94"/>
    </row>
    <row r="383" spans="1:11" x14ac:dyDescent="0.2">
      <c r="A383" s="94"/>
      <c r="B383" s="95">
        <v>377</v>
      </c>
      <c r="C383" s="100">
        <f>68550*E2</f>
        <v>68550</v>
      </c>
      <c r="D383" s="94"/>
      <c r="E383" s="94"/>
      <c r="F383" s="94"/>
      <c r="G383" s="94"/>
      <c r="H383" s="94"/>
      <c r="I383" s="94"/>
      <c r="J383" s="94"/>
      <c r="K383" s="94"/>
    </row>
    <row r="384" spans="1:11" x14ac:dyDescent="0.2">
      <c r="A384" s="94"/>
      <c r="B384" s="95">
        <v>378</v>
      </c>
      <c r="C384" s="100">
        <f>68700*E2</f>
        <v>68700</v>
      </c>
      <c r="D384" s="94"/>
      <c r="E384" s="94"/>
      <c r="F384" s="94"/>
      <c r="G384" s="94"/>
      <c r="H384" s="94"/>
      <c r="I384" s="94"/>
      <c r="J384" s="94"/>
      <c r="K384" s="94"/>
    </row>
    <row r="385" spans="1:11" x14ac:dyDescent="0.2">
      <c r="A385" s="94"/>
      <c r="B385" s="95">
        <v>379</v>
      </c>
      <c r="C385" s="100">
        <f>68850*E2</f>
        <v>68850</v>
      </c>
      <c r="D385" s="94"/>
      <c r="E385" s="94"/>
      <c r="F385" s="94"/>
      <c r="G385" s="94"/>
      <c r="H385" s="94"/>
      <c r="I385" s="94"/>
      <c r="J385" s="94"/>
      <c r="K385" s="94"/>
    </row>
    <row r="386" spans="1:11" x14ac:dyDescent="0.2">
      <c r="A386" s="94"/>
      <c r="B386" s="95">
        <v>380</v>
      </c>
      <c r="C386" s="101">
        <f>69000*E2</f>
        <v>69000</v>
      </c>
      <c r="D386" s="94"/>
      <c r="E386" s="94"/>
      <c r="F386" s="94"/>
      <c r="G386" s="94"/>
      <c r="H386" s="94"/>
      <c r="I386" s="94"/>
      <c r="J386" s="94"/>
      <c r="K386" s="94"/>
    </row>
    <row r="387" spans="1:11" x14ac:dyDescent="0.2">
      <c r="A387" s="94"/>
      <c r="B387" s="95">
        <v>381</v>
      </c>
      <c r="C387" s="100">
        <f>69150*E2</f>
        <v>69150</v>
      </c>
      <c r="D387" s="94"/>
      <c r="E387" s="94"/>
      <c r="F387" s="94"/>
      <c r="G387" s="94"/>
      <c r="H387" s="94"/>
      <c r="I387" s="94"/>
      <c r="J387" s="94"/>
      <c r="K387" s="94"/>
    </row>
    <row r="388" spans="1:11" x14ac:dyDescent="0.2">
      <c r="A388" s="94"/>
      <c r="B388" s="95">
        <v>382</v>
      </c>
      <c r="C388" s="100">
        <f>69300*E2</f>
        <v>69300</v>
      </c>
      <c r="D388" s="94"/>
      <c r="E388" s="94"/>
      <c r="F388" s="94"/>
      <c r="G388" s="94"/>
      <c r="H388" s="94"/>
      <c r="I388" s="94"/>
      <c r="J388" s="94"/>
      <c r="K388" s="94"/>
    </row>
    <row r="389" spans="1:11" x14ac:dyDescent="0.2">
      <c r="A389" s="94"/>
      <c r="B389" s="95">
        <v>383</v>
      </c>
      <c r="C389" s="100">
        <f>69450*E2</f>
        <v>69450</v>
      </c>
      <c r="D389" s="94"/>
      <c r="E389" s="94"/>
      <c r="F389" s="94"/>
      <c r="G389" s="94"/>
      <c r="H389" s="94"/>
      <c r="I389" s="94"/>
      <c r="J389" s="94"/>
      <c r="K389" s="94"/>
    </row>
    <row r="390" spans="1:11" x14ac:dyDescent="0.2">
      <c r="A390" s="94"/>
      <c r="B390" s="95">
        <v>384</v>
      </c>
      <c r="C390" s="100">
        <f>69600*E2</f>
        <v>69600</v>
      </c>
      <c r="D390" s="94"/>
      <c r="E390" s="94"/>
      <c r="F390" s="94"/>
      <c r="G390" s="94"/>
      <c r="H390" s="94"/>
      <c r="I390" s="94"/>
      <c r="J390" s="94"/>
      <c r="K390" s="94"/>
    </row>
    <row r="391" spans="1:11" x14ac:dyDescent="0.2">
      <c r="A391" s="94"/>
      <c r="B391" s="95">
        <v>385</v>
      </c>
      <c r="C391" s="101">
        <f>69750*E2</f>
        <v>69750</v>
      </c>
      <c r="D391" s="94"/>
      <c r="E391" s="94"/>
      <c r="F391" s="94"/>
      <c r="G391" s="94"/>
      <c r="H391" s="94"/>
      <c r="I391" s="94"/>
      <c r="J391" s="94"/>
      <c r="K391" s="94"/>
    </row>
    <row r="392" spans="1:11" x14ac:dyDescent="0.2">
      <c r="A392" s="94"/>
      <c r="B392" s="95">
        <v>386</v>
      </c>
      <c r="C392" s="100">
        <f>69900*E2</f>
        <v>69900</v>
      </c>
      <c r="D392" s="94"/>
      <c r="E392" s="94"/>
      <c r="F392" s="94"/>
      <c r="G392" s="94"/>
      <c r="H392" s="94"/>
      <c r="I392" s="94"/>
      <c r="J392" s="94"/>
      <c r="K392" s="94"/>
    </row>
    <row r="393" spans="1:11" x14ac:dyDescent="0.2">
      <c r="A393" s="94"/>
      <c r="B393" s="95">
        <v>387</v>
      </c>
      <c r="C393" s="100">
        <f>70050*E2</f>
        <v>70050</v>
      </c>
      <c r="D393" s="94"/>
      <c r="E393" s="94"/>
      <c r="F393" s="94"/>
      <c r="G393" s="94"/>
      <c r="H393" s="94"/>
      <c r="I393" s="94"/>
      <c r="J393" s="94"/>
      <c r="K393" s="94"/>
    </row>
    <row r="394" spans="1:11" x14ac:dyDescent="0.2">
      <c r="A394" s="94"/>
      <c r="B394" s="95">
        <v>388</v>
      </c>
      <c r="C394" s="100">
        <f>70200*E2</f>
        <v>70200</v>
      </c>
      <c r="D394" s="94"/>
      <c r="E394" s="94"/>
      <c r="F394" s="94"/>
      <c r="G394" s="94"/>
      <c r="H394" s="94"/>
      <c r="I394" s="94"/>
      <c r="J394" s="94"/>
      <c r="K394" s="94"/>
    </row>
    <row r="395" spans="1:11" x14ac:dyDescent="0.2">
      <c r="A395" s="94"/>
      <c r="B395" s="95">
        <v>389</v>
      </c>
      <c r="C395" s="100">
        <f>70350*E2</f>
        <v>70350</v>
      </c>
      <c r="D395" s="94"/>
      <c r="E395" s="94"/>
      <c r="F395" s="94"/>
      <c r="G395" s="94"/>
      <c r="H395" s="94"/>
      <c r="I395" s="94"/>
      <c r="J395" s="94"/>
      <c r="K395" s="94"/>
    </row>
    <row r="396" spans="1:11" x14ac:dyDescent="0.2">
      <c r="A396" s="94"/>
      <c r="B396" s="95">
        <v>390</v>
      </c>
      <c r="C396" s="101">
        <f>70500*E2</f>
        <v>70500</v>
      </c>
      <c r="D396" s="94"/>
      <c r="E396" s="94"/>
      <c r="F396" s="94"/>
      <c r="G396" s="94"/>
      <c r="H396" s="94"/>
      <c r="I396" s="94"/>
      <c r="J396" s="94"/>
      <c r="K396" s="94"/>
    </row>
    <row r="397" spans="1:11" x14ac:dyDescent="0.2">
      <c r="A397" s="94"/>
      <c r="B397" s="95">
        <v>391</v>
      </c>
      <c r="C397" s="100">
        <f>70650*E2</f>
        <v>70650</v>
      </c>
      <c r="D397" s="94"/>
      <c r="E397" s="94"/>
      <c r="F397" s="94"/>
      <c r="G397" s="94"/>
      <c r="H397" s="94"/>
      <c r="I397" s="94"/>
      <c r="J397" s="94"/>
      <c r="K397" s="94"/>
    </row>
    <row r="398" spans="1:11" x14ac:dyDescent="0.2">
      <c r="A398" s="94"/>
      <c r="B398" s="95">
        <v>392</v>
      </c>
      <c r="C398" s="100">
        <f>70800*E2</f>
        <v>70800</v>
      </c>
      <c r="D398" s="94"/>
      <c r="E398" s="94"/>
      <c r="F398" s="94"/>
      <c r="G398" s="94"/>
      <c r="H398" s="94"/>
      <c r="I398" s="94"/>
      <c r="J398" s="94"/>
      <c r="K398" s="94"/>
    </row>
    <row r="399" spans="1:11" x14ac:dyDescent="0.2">
      <c r="A399" s="94"/>
      <c r="B399" s="95">
        <v>393</v>
      </c>
      <c r="C399" s="100">
        <f>70950*E2</f>
        <v>70950</v>
      </c>
      <c r="D399" s="94"/>
      <c r="E399" s="94"/>
      <c r="F399" s="94"/>
      <c r="G399" s="94"/>
      <c r="H399" s="94"/>
      <c r="I399" s="94"/>
      <c r="J399" s="94"/>
      <c r="K399" s="94"/>
    </row>
    <row r="400" spans="1:11" x14ac:dyDescent="0.2">
      <c r="A400" s="94"/>
      <c r="B400" s="95">
        <v>394</v>
      </c>
      <c r="C400" s="100">
        <f>71100*E2</f>
        <v>71100</v>
      </c>
      <c r="D400" s="94"/>
      <c r="E400" s="94"/>
      <c r="F400" s="94"/>
      <c r="G400" s="94"/>
      <c r="H400" s="94"/>
      <c r="I400" s="94"/>
      <c r="J400" s="94"/>
      <c r="K400" s="94"/>
    </row>
    <row r="401" spans="1:11" x14ac:dyDescent="0.2">
      <c r="A401" s="94"/>
      <c r="B401" s="95">
        <v>395</v>
      </c>
      <c r="C401" s="101">
        <f>71250*E2</f>
        <v>71250</v>
      </c>
      <c r="D401" s="94"/>
      <c r="E401" s="94"/>
      <c r="F401" s="94"/>
      <c r="G401" s="94"/>
      <c r="H401" s="94"/>
      <c r="I401" s="94"/>
      <c r="J401" s="94"/>
      <c r="K401" s="94"/>
    </row>
    <row r="402" spans="1:11" x14ac:dyDescent="0.2">
      <c r="A402" s="94"/>
      <c r="B402" s="95">
        <v>396</v>
      </c>
      <c r="C402" s="100">
        <f>71400*E2</f>
        <v>71400</v>
      </c>
      <c r="D402" s="94"/>
      <c r="E402" s="94"/>
      <c r="F402" s="94"/>
      <c r="G402" s="94"/>
      <c r="H402" s="94"/>
      <c r="I402" s="94"/>
      <c r="J402" s="94"/>
      <c r="K402" s="94"/>
    </row>
    <row r="403" spans="1:11" x14ac:dyDescent="0.2">
      <c r="A403" s="94"/>
      <c r="B403" s="95">
        <v>397</v>
      </c>
      <c r="C403" s="100">
        <f>71550*E2</f>
        <v>71550</v>
      </c>
      <c r="D403" s="94"/>
      <c r="E403" s="94"/>
      <c r="F403" s="94"/>
      <c r="G403" s="94"/>
      <c r="H403" s="94"/>
      <c r="I403" s="94"/>
      <c r="J403" s="94"/>
      <c r="K403" s="94"/>
    </row>
    <row r="404" spans="1:11" x14ac:dyDescent="0.2">
      <c r="A404" s="94"/>
      <c r="B404" s="95">
        <v>398</v>
      </c>
      <c r="C404" s="100">
        <f>71700*E2</f>
        <v>71700</v>
      </c>
      <c r="D404" s="94"/>
      <c r="E404" s="94"/>
      <c r="F404" s="94"/>
      <c r="G404" s="94"/>
      <c r="H404" s="94"/>
      <c r="I404" s="94"/>
      <c r="J404" s="94"/>
      <c r="K404" s="94"/>
    </row>
    <row r="405" spans="1:11" x14ac:dyDescent="0.2">
      <c r="A405" s="94"/>
      <c r="B405" s="95">
        <v>399</v>
      </c>
      <c r="C405" s="100">
        <f>71850*E2</f>
        <v>71850</v>
      </c>
      <c r="D405" s="94"/>
      <c r="E405" s="94"/>
      <c r="F405" s="94"/>
      <c r="G405" s="94"/>
      <c r="H405" s="94"/>
      <c r="I405" s="94"/>
      <c r="J405" s="94"/>
      <c r="K405" s="94"/>
    </row>
    <row r="406" spans="1:11" x14ac:dyDescent="0.2">
      <c r="A406" s="94"/>
      <c r="B406" s="95">
        <v>400</v>
      </c>
      <c r="C406" s="101">
        <f>72000*E2</f>
        <v>72000</v>
      </c>
      <c r="D406" s="94"/>
      <c r="E406" s="94"/>
      <c r="F406" s="94"/>
      <c r="G406" s="94"/>
      <c r="H406" s="94"/>
      <c r="I406" s="94"/>
      <c r="J406" s="94"/>
      <c r="K406" s="94"/>
    </row>
    <row r="407" spans="1:11" x14ac:dyDescent="0.2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</row>
    <row r="408" spans="1:11" x14ac:dyDescent="0.2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</row>
    <row r="409" spans="1:11" x14ac:dyDescent="0.2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</row>
  </sheetData>
  <phoneticPr fontId="0" type="noConversion"/>
  <printOptions horizontalCentered="1" verticalCentered="1"/>
  <pageMargins left="0.75" right="0.75" top="1" bottom="1" header="0.51181102362204722" footer="0.51181102362204722"/>
  <pageSetup paperSize="5" scale="85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3BEC-2302-4D40-B956-F92D521B60B3}">
  <sheetPr codeName="Hoja27">
    <tabColor indexed="31"/>
    <pageSetUpPr fitToPage="1"/>
  </sheetPr>
  <dimension ref="B2:Y93"/>
  <sheetViews>
    <sheetView showGridLines="0" tabSelected="1" zoomScale="160" zoomScaleNormal="160" zoomScaleSheetLayoutView="100" workbookViewId="0">
      <selection activeCell="L4" sqref="L4"/>
    </sheetView>
  </sheetViews>
  <sheetFormatPr baseColWidth="10" defaultColWidth="9.140625" defaultRowHeight="12.75" x14ac:dyDescent="0.2"/>
  <cols>
    <col min="1" max="1" width="2.42578125" style="1" customWidth="1"/>
    <col min="2" max="5" width="3.5703125" style="1" customWidth="1"/>
    <col min="6" max="6" width="17.42578125" style="1" customWidth="1"/>
    <col min="7" max="7" width="4.140625" style="1" customWidth="1"/>
    <col min="8" max="8" width="0.5703125" style="1" customWidth="1"/>
    <col min="9" max="9" width="19.28515625" style="1" customWidth="1"/>
    <col min="10" max="11" width="12.7109375" style="1" customWidth="1"/>
    <col min="12" max="12" width="16.7109375" style="1" customWidth="1"/>
    <col min="13" max="13" width="6.85546875" style="1" customWidth="1"/>
    <col min="14" max="14" width="20.28515625" style="1" customWidth="1"/>
    <col min="15" max="16" width="12.7109375" style="1" customWidth="1"/>
    <col min="17" max="17" width="16.7109375" style="1" customWidth="1"/>
    <col min="18" max="19" width="9.140625" style="1"/>
    <col min="20" max="20" width="16" style="1" customWidth="1"/>
    <col min="21" max="21" width="9.140625" style="1"/>
    <col min="22" max="22" width="13.5703125" style="1" customWidth="1"/>
    <col min="23" max="24" width="9.140625" style="1"/>
    <col min="25" max="25" width="13.7109375" style="1" customWidth="1"/>
    <col min="26" max="16384" width="9.140625" style="1"/>
  </cols>
  <sheetData>
    <row r="2" spans="2:25" x14ac:dyDescent="0.2">
      <c r="N2" s="108" t="s">
        <v>300</v>
      </c>
      <c r="O2" s="303"/>
      <c r="P2" s="303"/>
    </row>
    <row r="3" spans="2:25" ht="13.5" customHeight="1" x14ac:dyDescent="0.2">
      <c r="H3" s="107"/>
      <c r="L3" s="109"/>
      <c r="M3" s="110"/>
      <c r="N3" s="108" t="s">
        <v>301</v>
      </c>
      <c r="O3" s="304"/>
      <c r="P3" s="304"/>
    </row>
    <row r="4" spans="2:25" ht="13.5" customHeight="1" x14ac:dyDescent="0.2">
      <c r="H4" s="107"/>
      <c r="I4" s="108"/>
      <c r="J4" s="243"/>
      <c r="K4" s="243"/>
      <c r="L4" s="109"/>
      <c r="M4" s="110"/>
      <c r="N4" s="108" t="s">
        <v>302</v>
      </c>
      <c r="O4" s="304"/>
      <c r="P4" s="304"/>
    </row>
    <row r="5" spans="2:25" ht="13.5" customHeight="1" x14ac:dyDescent="0.2">
      <c r="H5" s="107"/>
      <c r="I5" s="109"/>
      <c r="N5" s="108" t="s">
        <v>381</v>
      </c>
      <c r="O5" s="304"/>
      <c r="P5" s="304"/>
    </row>
    <row r="6" spans="2:25" ht="13.5" customHeight="1" x14ac:dyDescent="0.2">
      <c r="H6" s="107"/>
      <c r="N6" s="108" t="s">
        <v>382</v>
      </c>
      <c r="O6" s="304"/>
      <c r="P6" s="304"/>
      <c r="Q6" s="244"/>
    </row>
    <row r="7" spans="2:25" ht="13.5" customHeight="1" x14ac:dyDescent="0.2">
      <c r="H7" s="107"/>
      <c r="N7" s="108" t="s">
        <v>383</v>
      </c>
      <c r="O7" s="255"/>
      <c r="P7" s="255"/>
      <c r="Q7" s="244"/>
    </row>
    <row r="8" spans="2:25" ht="13.5" customHeight="1" x14ac:dyDescent="0.2">
      <c r="H8" s="107"/>
      <c r="Q8" s="111"/>
    </row>
    <row r="9" spans="2:25" s="112" customFormat="1" ht="19.5" customHeight="1" x14ac:dyDescent="0.2">
      <c r="I9" s="305" t="s">
        <v>303</v>
      </c>
      <c r="J9" s="305"/>
      <c r="K9" s="305"/>
      <c r="L9" s="305"/>
      <c r="M9" s="305"/>
      <c r="N9" s="305"/>
      <c r="O9" s="305"/>
      <c r="P9" s="305"/>
      <c r="Q9" s="305"/>
    </row>
    <row r="10" spans="2:25" s="112" customFormat="1" ht="5.25" customHeight="1" x14ac:dyDescent="0.2">
      <c r="I10" s="113"/>
      <c r="J10" s="113"/>
      <c r="K10" s="113"/>
      <c r="L10" s="113"/>
      <c r="M10" s="113"/>
      <c r="N10" s="113"/>
      <c r="O10" s="113"/>
      <c r="P10" s="113"/>
      <c r="Q10" s="113"/>
    </row>
    <row r="11" spans="2:25" s="112" customFormat="1" ht="3.75" hidden="1" customHeight="1" x14ac:dyDescent="0.2">
      <c r="I11" s="1"/>
      <c r="J11" s="291" t="s">
        <v>304</v>
      </c>
      <c r="K11" s="291"/>
      <c r="L11" s="291" t="s">
        <v>305</v>
      </c>
      <c r="M11" s="291"/>
      <c r="N11" s="113"/>
      <c r="O11" s="113"/>
      <c r="P11" s="113"/>
      <c r="Q11" s="113"/>
    </row>
    <row r="12" spans="2:25" s="112" customFormat="1" ht="13.5" hidden="1" customHeight="1" x14ac:dyDescent="0.2">
      <c r="I12" s="1" t="s">
        <v>306</v>
      </c>
      <c r="J12" s="114">
        <v>155</v>
      </c>
      <c r="K12" s="114">
        <v>21</v>
      </c>
      <c r="L12" s="17">
        <v>340</v>
      </c>
      <c r="M12" s="17">
        <v>7</v>
      </c>
      <c r="N12" s="113"/>
      <c r="O12" s="113"/>
      <c r="P12" s="113"/>
      <c r="Q12" s="113"/>
    </row>
    <row r="13" spans="2:25" s="112" customFormat="1" ht="14.25" hidden="1" customHeight="1" x14ac:dyDescent="0.2">
      <c r="I13" s="107" t="s">
        <v>307</v>
      </c>
      <c r="J13" s="17">
        <v>100</v>
      </c>
      <c r="K13" s="17">
        <v>12</v>
      </c>
      <c r="L13" s="17">
        <v>160</v>
      </c>
      <c r="M13" s="17">
        <v>5</v>
      </c>
      <c r="N13" s="113"/>
      <c r="O13" s="113"/>
      <c r="P13" s="113"/>
      <c r="Q13" s="113"/>
    </row>
    <row r="14" spans="2:25" s="112" customFormat="1" ht="9.9499999999999993" hidden="1" customHeight="1" x14ac:dyDescent="0.2">
      <c r="I14" s="107" t="s">
        <v>308</v>
      </c>
      <c r="J14" s="17">
        <v>300</v>
      </c>
      <c r="K14" s="17">
        <v>34</v>
      </c>
      <c r="L14" s="17">
        <v>780</v>
      </c>
      <c r="M14" s="17">
        <v>16</v>
      </c>
      <c r="N14" s="113"/>
      <c r="O14" s="113"/>
      <c r="P14" s="113"/>
      <c r="Q14" s="113"/>
    </row>
    <row r="15" spans="2:25" ht="13.5" customHeight="1" x14ac:dyDescent="0.2">
      <c r="B15" s="293"/>
      <c r="C15" s="294"/>
      <c r="D15" s="294"/>
      <c r="F15" s="295" t="str">
        <f>x!F2</f>
        <v>Vigente desde el 01/01/2026</v>
      </c>
      <c r="G15" s="295"/>
      <c r="H15" s="121"/>
      <c r="I15" s="296" t="s">
        <v>310</v>
      </c>
      <c r="J15" s="296"/>
      <c r="K15" s="296"/>
      <c r="L15" s="296"/>
      <c r="M15" s="119"/>
      <c r="N15" s="296" t="s">
        <v>311</v>
      </c>
      <c r="O15" s="296"/>
      <c r="P15" s="296"/>
      <c r="Q15" s="296"/>
      <c r="S15" s="269" t="s">
        <v>309</v>
      </c>
      <c r="T15" s="269"/>
      <c r="U15" s="269" t="s">
        <v>310</v>
      </c>
      <c r="V15" s="269"/>
      <c r="X15" s="269" t="s">
        <v>311</v>
      </c>
      <c r="Y15" s="269"/>
    </row>
    <row r="16" spans="2:25" ht="13.5" customHeight="1" x14ac:dyDescent="0.2">
      <c r="B16" s="293"/>
      <c r="C16" s="294"/>
      <c r="D16" s="294"/>
      <c r="E16" s="122"/>
      <c r="F16" s="295"/>
      <c r="G16" s="295"/>
      <c r="H16" s="121"/>
      <c r="I16" s="123" t="s">
        <v>322</v>
      </c>
      <c r="J16" s="124" t="s">
        <v>323</v>
      </c>
      <c r="K16" s="125" t="s">
        <v>324</v>
      </c>
      <c r="L16" s="125" t="s">
        <v>18</v>
      </c>
      <c r="M16" s="126"/>
      <c r="N16" s="123" t="s">
        <v>322</v>
      </c>
      <c r="O16" s="124" t="s">
        <v>323</v>
      </c>
      <c r="P16" s="125" t="s">
        <v>325</v>
      </c>
      <c r="Q16" s="125" t="s">
        <v>18</v>
      </c>
      <c r="S16" s="107"/>
      <c r="V16" s="111"/>
    </row>
    <row r="17" spans="2:25" ht="13.5" customHeight="1" x14ac:dyDescent="0.25">
      <c r="B17" s="293"/>
      <c r="C17" s="294"/>
      <c r="D17" s="294"/>
      <c r="E17" s="294"/>
      <c r="H17" s="127"/>
      <c r="I17" s="128" t="s">
        <v>326</v>
      </c>
      <c r="J17" s="129" t="s">
        <v>327</v>
      </c>
      <c r="K17" s="130" t="s">
        <v>328</v>
      </c>
      <c r="L17" s="130" t="s">
        <v>329</v>
      </c>
      <c r="M17" s="126"/>
      <c r="N17" s="128" t="s">
        <v>326</v>
      </c>
      <c r="O17" s="129" t="s">
        <v>327</v>
      </c>
      <c r="P17" s="130" t="s">
        <v>330</v>
      </c>
      <c r="Q17" s="130" t="s">
        <v>329</v>
      </c>
      <c r="S17" s="115" t="s">
        <v>312</v>
      </c>
      <c r="T17" s="115"/>
      <c r="U17" s="116" t="s">
        <v>313</v>
      </c>
      <c r="V17" s="117"/>
      <c r="X17" s="118" t="s">
        <v>314</v>
      </c>
      <c r="Y17" s="119"/>
    </row>
    <row r="18" spans="2:25" ht="13.5" customHeight="1" x14ac:dyDescent="0.25">
      <c r="B18" s="293"/>
      <c r="C18" s="294"/>
      <c r="D18" s="294"/>
      <c r="E18" s="294"/>
      <c r="G18" s="1">
        <v>1</v>
      </c>
      <c r="H18" s="131">
        <f t="shared" ref="H18:H77" si="0">IF(L18=0,0,1)</f>
        <v>0</v>
      </c>
      <c r="I18" s="252"/>
      <c r="J18" s="253"/>
      <c r="K18" s="254"/>
      <c r="L18" s="132">
        <f>IF(J18*K18&gt;0,IF(I18="Habilitación",$J$12+$K$12*POWER(J18*K18,1/3),IF(I18="Inspección Periódica",$J$13+$K$13*POWER(J18*K18,1/3),IF(I18="Extensión de Vida Util",$J$14+$K$14*POWER(J18*K18,1/3),0)))*x!$C$10,0)</f>
        <v>0</v>
      </c>
      <c r="M18" s="133">
        <f t="shared" ref="M18:M77" si="1">IF(Q18=0,0,1)</f>
        <v>0</v>
      </c>
      <c r="N18" s="252"/>
      <c r="O18" s="253"/>
      <c r="P18" s="254"/>
      <c r="Q18" s="132">
        <f>IF(O18*P18&gt;0,IF(N18="Habilitación",$L$12+$M$12*POWER(O18*P18,1/2),IF(N18="Inspección Periódica",$L$13+$M$13*POWER(O18*P18,1/2),IF(N18="Extensión de Vida Util",$L$14+$M$14*POWER(O18*P18,1/2),0)))*x!$C$10,0)</f>
        <v>0</v>
      </c>
      <c r="S18" s="115" t="s">
        <v>315</v>
      </c>
      <c r="T18" s="119"/>
      <c r="U18" s="116" t="s">
        <v>316</v>
      </c>
      <c r="X18" s="118" t="s">
        <v>317</v>
      </c>
      <c r="Y18" s="119"/>
    </row>
    <row r="19" spans="2:25" ht="13.5" customHeight="1" x14ac:dyDescent="0.25">
      <c r="B19" s="293"/>
      <c r="C19" s="294"/>
      <c r="D19" s="294"/>
      <c r="E19" s="294"/>
      <c r="G19" s="1">
        <v>2</v>
      </c>
      <c r="H19" s="134">
        <f t="shared" si="0"/>
        <v>0</v>
      </c>
      <c r="I19" s="246"/>
      <c r="J19" s="247"/>
      <c r="K19" s="248"/>
      <c r="L19" s="132">
        <f>IF(J19*K19&gt;0,IF(I19="Habilitación",$J$12+$K$12*POWER(J19*K19,1/3),IF(I19="Inspección Periódica",$J$13+$K$13*POWER(J19*K19,1/3),IF(I19="Extensión de Vida Util",$J$14+$K$14*POWER(J19*K19,1/3),0)))*x!$C$10,0)</f>
        <v>0</v>
      </c>
      <c r="M19" s="133">
        <f t="shared" si="1"/>
        <v>0</v>
      </c>
      <c r="N19" s="249"/>
      <c r="O19" s="247"/>
      <c r="P19" s="248"/>
      <c r="Q19" s="132">
        <f>IF(O19*P19&gt;0,IF(N19="Habilitación",$L$12+$M$12*POWER(O19*P19,1/2),IF(N19="Inspección Periódica",$L$13+$M$13*POWER(O19*P19,1/2),IF(N19="Extensión de Vida Util",$L$14+$M$14*POWER(O19*P19,1/2),0)))*x!$C$10,0)</f>
        <v>0</v>
      </c>
      <c r="S19" s="115" t="s">
        <v>318</v>
      </c>
      <c r="T19" s="119"/>
      <c r="U19" s="116" t="s">
        <v>319</v>
      </c>
      <c r="V19" s="116"/>
      <c r="X19" s="118" t="s">
        <v>320</v>
      </c>
      <c r="Y19" s="119"/>
    </row>
    <row r="20" spans="2:25" ht="13.5" customHeight="1" x14ac:dyDescent="0.2">
      <c r="B20" s="293"/>
      <c r="C20" s="294"/>
      <c r="D20" s="294"/>
      <c r="E20" s="294"/>
      <c r="G20" s="1">
        <v>3</v>
      </c>
      <c r="H20" s="131">
        <f t="shared" si="0"/>
        <v>0</v>
      </c>
      <c r="I20" s="249"/>
      <c r="J20" s="247"/>
      <c r="K20" s="248"/>
      <c r="L20" s="132">
        <f>IF(J20*K20&gt;0,IF(I20="Habilitación",$J$12+$K$12*POWER(J20*K20,1/3),IF(I20="Inspección Periódica",$J$13+$K$13*POWER(J20*K20,1/3),IF(I20="Extensión de Vida Util",$J$14+$K$14*POWER(J20*K20,1/3),0)))*x!$C$10,0)</f>
        <v>0</v>
      </c>
      <c r="M20" s="133">
        <f t="shared" si="1"/>
        <v>0</v>
      </c>
      <c r="N20" s="249"/>
      <c r="O20" s="247"/>
      <c r="P20" s="248"/>
      <c r="Q20" s="132">
        <f>IF(O20*P20&gt;0,IF(N20="Habilitación",$L$12+$M$12*POWER(O20*P20,1/2),IF(N20="Inspección Periódica",$L$13+$M$13*POWER(O20*P20,1/2),IF(N20="Extensión de Vida Util",$L$14+$M$14*POWER(O20*P20,1/2),0)))*x!$C$10,0)</f>
        <v>0</v>
      </c>
      <c r="S20" s="119"/>
      <c r="T20" s="119"/>
      <c r="U20" s="119"/>
      <c r="V20" s="119"/>
      <c r="W20" s="119"/>
    </row>
    <row r="21" spans="2:25" ht="13.5" customHeight="1" x14ac:dyDescent="0.25">
      <c r="B21" s="293"/>
      <c r="C21" s="294"/>
      <c r="D21" s="294"/>
      <c r="E21" s="294"/>
      <c r="G21" s="1">
        <v>4</v>
      </c>
      <c r="H21" s="134">
        <f t="shared" si="0"/>
        <v>0</v>
      </c>
      <c r="I21" s="249"/>
      <c r="J21" s="247"/>
      <c r="K21" s="248"/>
      <c r="L21" s="132">
        <f>IF(J21*K21&gt;0,IF(I21="Habilitación",$J$12+$K$12*POWER(J21*K21,1/3),IF(I21="Inspección Periódica",$J$13+$K$13*POWER(J21*K21,1/3),IF(I21="Extensión de Vida Util",$J$14+$K$14*POWER(J21*K21,1/3),0)))*x!$C$10,0)</f>
        <v>0</v>
      </c>
      <c r="M21" s="133">
        <f t="shared" si="1"/>
        <v>0</v>
      </c>
      <c r="N21" s="249"/>
      <c r="O21" s="247"/>
      <c r="P21" s="248"/>
      <c r="Q21" s="132">
        <f>IF(O21*P21&gt;0,IF(N21="Habilitación",$L$12+$M$12*POWER(O21*P21,1/2),IF(N21="Inspección Periódica",$L$13+$M$13*POWER(O21*P21,1/2),IF(N21="Extensión de Vida Util",$L$14+$M$14*POWER(O21*P21,1/2),0)))*x!$C$10,0)</f>
        <v>0</v>
      </c>
      <c r="S21" s="292" t="s">
        <v>321</v>
      </c>
      <c r="T21" s="292"/>
      <c r="U21" s="292"/>
      <c r="V21" s="120">
        <v>2508</v>
      </c>
      <c r="W21" s="119"/>
    </row>
    <row r="22" spans="2:25" ht="13.5" customHeight="1" x14ac:dyDescent="0.2">
      <c r="B22" s="293"/>
      <c r="C22" s="294"/>
      <c r="D22" s="294"/>
      <c r="E22" s="294"/>
      <c r="G22" s="1">
        <v>5</v>
      </c>
      <c r="H22" s="131">
        <f t="shared" si="0"/>
        <v>0</v>
      </c>
      <c r="I22" s="249"/>
      <c r="J22" s="247"/>
      <c r="K22" s="248"/>
      <c r="L22" s="132">
        <f>IF(J22*K22&gt;0,IF(I22="Habilitación",$J$12+$K$12*POWER(J22*K22,1/3),IF(I22="Inspección Periódica",$J$13+$K$13*POWER(J22*K22,1/3),IF(I22="Extensión de Vida Util",$J$14+$K$14*POWER(J22*K22,1/3),0)))*x!$C$10,0)</f>
        <v>0</v>
      </c>
      <c r="M22" s="133">
        <f t="shared" si="1"/>
        <v>0</v>
      </c>
      <c r="N22" s="249"/>
      <c r="O22" s="247"/>
      <c r="P22" s="248"/>
      <c r="Q22" s="132">
        <f>IF(O22*P22&gt;0,IF(N22="Habilitación",$L$12+$M$12*POWER(O22*P22,1/2),IF(N22="Inspección Periódica",$L$13+$M$13*POWER(O22*P22,1/2),IF(N22="Extensión de Vida Util",$L$14+$M$14*POWER(O22*P22,1/2),0)))*x!$C$10,0)</f>
        <v>0</v>
      </c>
    </row>
    <row r="23" spans="2:25" ht="13.5" customHeight="1" x14ac:dyDescent="0.2">
      <c r="B23" s="293"/>
      <c r="C23" s="294"/>
      <c r="D23" s="294"/>
      <c r="E23" s="294"/>
      <c r="G23" s="1">
        <v>6</v>
      </c>
      <c r="H23" s="134">
        <f t="shared" si="0"/>
        <v>0</v>
      </c>
      <c r="I23" s="249"/>
      <c r="J23" s="247"/>
      <c r="K23" s="248"/>
      <c r="L23" s="132">
        <f>IF(J23*K23&gt;0,IF(I23="Habilitación",$J$12+$K$12*POWER(J23*K23,1/3),IF(I23="Inspección Periódica",$J$13+$K$13*POWER(J23*K23,1/3),IF(I23="Extensión de Vida Util",$J$14+$K$14*POWER(J23*K23,1/3),0)))*x!$C$10,0)</f>
        <v>0</v>
      </c>
      <c r="M23" s="133">
        <f t="shared" si="1"/>
        <v>0</v>
      </c>
      <c r="N23" s="249"/>
      <c r="O23" s="247"/>
      <c r="P23" s="248"/>
      <c r="Q23" s="132">
        <f>IF(O23*P23&gt;0,IF(N23="Habilitación",$L$12+$M$12*POWER(O23*P23,1/2),IF(N23="Inspección Periódica",$L$13+$M$13*POWER(O23*P23,1/2),IF(N23="Extensión de Vida Util",$L$14+$M$14*POWER(O23*P23,1/2),0)))*x!$C$10,0)</f>
        <v>0</v>
      </c>
      <c r="R23" s="135"/>
    </row>
    <row r="24" spans="2:25" ht="13.5" customHeight="1" x14ac:dyDescent="0.2">
      <c r="B24" s="293"/>
      <c r="C24" s="294"/>
      <c r="D24" s="294"/>
      <c r="E24" s="294"/>
      <c r="G24" s="1">
        <v>7</v>
      </c>
      <c r="H24" s="131">
        <f t="shared" si="0"/>
        <v>0</v>
      </c>
      <c r="I24" s="249"/>
      <c r="J24" s="247"/>
      <c r="K24" s="248"/>
      <c r="L24" s="132">
        <f>IF(J24*K24&gt;0,IF(I24="Habilitación",$J$12+$K$12*POWER(J24*K24,1/3),IF(I24="Inspección Periódica",$J$13+$K$13*POWER(J24*K24,1/3),IF(I24="Extensión de Vida Util",$J$14+$K$14*POWER(J24*K24,1/3),0)))*x!$C$10,0)</f>
        <v>0</v>
      </c>
      <c r="M24" s="133">
        <f t="shared" si="1"/>
        <v>0</v>
      </c>
      <c r="N24" s="249"/>
      <c r="O24" s="247"/>
      <c r="P24" s="248"/>
      <c r="Q24" s="132">
        <f>IF(O24*P24&gt;0,IF(N24="Habilitación",$L$12+$M$12*POWER(O24*P24,1/2),IF(N24="Inspección Periódica",$L$13+$M$13*POWER(O24*P24,1/2),IF(N24="Extensión de Vida Util",$L$14+$M$14*POWER(O24*P24,1/2),0)))*x!$C$10,0)</f>
        <v>0</v>
      </c>
    </row>
    <row r="25" spans="2:25" ht="13.5" customHeight="1" x14ac:dyDescent="0.2">
      <c r="B25" s="293"/>
      <c r="C25" s="294"/>
      <c r="D25" s="294"/>
      <c r="E25" s="294"/>
      <c r="G25" s="1">
        <v>8</v>
      </c>
      <c r="H25" s="134">
        <f t="shared" si="0"/>
        <v>0</v>
      </c>
      <c r="I25" s="249"/>
      <c r="J25" s="247"/>
      <c r="K25" s="248"/>
      <c r="L25" s="132">
        <f>IF(J25*K25&gt;0,IF(I25="Habilitación",$J$12+$K$12*POWER(J25*K25,1/3),IF(I25="Inspección Periódica",$J$13+$K$13*POWER(J25*K25,1/3),IF(I25="Extensión de Vida Util",$J$14+$K$14*POWER(J25*K25,1/3),0)))*x!$C$10,0)</f>
        <v>0</v>
      </c>
      <c r="M25" s="133">
        <f t="shared" si="1"/>
        <v>0</v>
      </c>
      <c r="N25" s="249"/>
      <c r="O25" s="247"/>
      <c r="P25" s="248"/>
      <c r="Q25" s="132">
        <f>IF(O25*P25&gt;0,IF(N25="Habilitación",$L$12+$M$12*POWER(O25*P25,1/2),IF(N25="Inspección Periódica",$L$13+$M$13*POWER(O25*P25,1/2),IF(N25="Extensión de Vida Util",$L$14+$M$14*POWER(O25*P25,1/2),0)))*x!$C$10,0)</f>
        <v>0</v>
      </c>
    </row>
    <row r="26" spans="2:25" ht="13.5" customHeight="1" x14ac:dyDescent="0.2">
      <c r="B26" s="293"/>
      <c r="C26" s="294"/>
      <c r="D26" s="294"/>
      <c r="E26" s="294"/>
      <c r="G26" s="1">
        <v>9</v>
      </c>
      <c r="H26" s="131">
        <f t="shared" si="0"/>
        <v>0</v>
      </c>
      <c r="I26" s="249"/>
      <c r="J26" s="247"/>
      <c r="K26" s="248"/>
      <c r="L26" s="132">
        <f>IF(J26*K26&gt;0,IF(I26="Habilitación",$J$12+$K$12*POWER(J26*K26,1/3),IF(I26="Inspección Periódica",$J$13+$K$13*POWER(J26*K26,1/3),IF(I26="Extensión de Vida Util",$J$14+$K$14*POWER(J26*K26,1/3),0)))*x!$C$10,0)</f>
        <v>0</v>
      </c>
      <c r="M26" s="133">
        <f t="shared" si="1"/>
        <v>0</v>
      </c>
      <c r="N26" s="249"/>
      <c r="O26" s="247"/>
      <c r="P26" s="248"/>
      <c r="Q26" s="132">
        <f>IF(O26*P26&gt;0,IF(N26="Habilitación",$L$12+$M$12*POWER(O26*P26,1/2),IF(N26="Inspección Periódica",$L$13+$M$13*POWER(O26*P26,1/2),IF(N26="Extensión de Vida Util",$L$14+$M$14*POWER(O26*P26,1/2),0)))*x!$C$10,0)</f>
        <v>0</v>
      </c>
    </row>
    <row r="27" spans="2:25" ht="13.5" customHeight="1" x14ac:dyDescent="0.2">
      <c r="B27" s="293"/>
      <c r="C27" s="294"/>
      <c r="D27" s="294"/>
      <c r="E27" s="294"/>
      <c r="F27" s="301"/>
      <c r="G27" s="1">
        <v>10</v>
      </c>
      <c r="H27" s="134">
        <f t="shared" si="0"/>
        <v>0</v>
      </c>
      <c r="I27" s="249"/>
      <c r="J27" s="247"/>
      <c r="K27" s="248"/>
      <c r="L27" s="132">
        <f>IF(J27*K27&gt;0,IF(I27="Habilitación",$J$12+$K$12*POWER(J27*K27,1/3),IF(I27="Inspección Periódica",$J$13+$K$13*POWER(J27*K27,1/3),IF(I27="Extensión de Vida Util",$J$14+$K$14*POWER(J27*K27,1/3),0)))*x!$C$10,0)</f>
        <v>0</v>
      </c>
      <c r="M27" s="133">
        <f t="shared" si="1"/>
        <v>0</v>
      </c>
      <c r="N27" s="249"/>
      <c r="O27" s="247"/>
      <c r="P27" s="248"/>
      <c r="Q27" s="132">
        <f>IF(O27*P27&gt;0,IF(N27="Habilitación",$L$12+$M$12*POWER(O27*P27,1/2),IF(N27="Inspección Periódica",$L$13+$M$13*POWER(O27*P27,1/2),IF(N27="Extensión de Vida Util",$L$14+$M$14*POWER(O27*P27,1/2),0)))*x!$C$10,0)</f>
        <v>0</v>
      </c>
    </row>
    <row r="28" spans="2:25" ht="13.5" customHeight="1" x14ac:dyDescent="0.2">
      <c r="B28" s="293"/>
      <c r="C28" s="294"/>
      <c r="D28" s="294"/>
      <c r="E28" s="294"/>
      <c r="F28" s="301"/>
      <c r="G28" s="1">
        <v>11</v>
      </c>
      <c r="H28" s="131">
        <f t="shared" si="0"/>
        <v>0</v>
      </c>
      <c r="I28" s="249"/>
      <c r="J28" s="247"/>
      <c r="K28" s="248"/>
      <c r="L28" s="132">
        <f>IF(J28*K28&gt;0,IF(I28="Habilitación",$J$12+$K$12*POWER(J28*K28,1/3),IF(I28="Inspección Periódica",$J$13+$K$13*POWER(J28*K28,1/3),IF(I28="Extensión de Vida Util",$J$14+$K$14*POWER(J28*K28,1/3),0)))*x!$C$10,0)</f>
        <v>0</v>
      </c>
      <c r="M28" s="133">
        <f t="shared" si="1"/>
        <v>0</v>
      </c>
      <c r="N28" s="249"/>
      <c r="O28" s="247"/>
      <c r="P28" s="248"/>
      <c r="Q28" s="132">
        <f>IF(O28*P28&gt;0,IF(N28="Habilitación",$L$12+$M$12*POWER(O28*P28,1/2),IF(N28="Inspección Periódica",$L$13+$M$13*POWER(O28*P28,1/2),IF(N28="Extensión de Vida Util",$L$14+$M$14*POWER(O28*P28,1/2),0)))*x!$C$10,0)</f>
        <v>0</v>
      </c>
    </row>
    <row r="29" spans="2:25" ht="13.5" customHeight="1" x14ac:dyDescent="0.2">
      <c r="B29" s="293"/>
      <c r="C29" s="294"/>
      <c r="D29" s="294"/>
      <c r="E29" s="294"/>
      <c r="F29" s="301"/>
      <c r="G29" s="1">
        <v>12</v>
      </c>
      <c r="H29" s="134">
        <f t="shared" si="0"/>
        <v>0</v>
      </c>
      <c r="I29" s="249"/>
      <c r="J29" s="247"/>
      <c r="K29" s="248"/>
      <c r="L29" s="132">
        <f>IF(J29*K29&gt;0,IF(I29="Habilitación",$J$12+$K$12*POWER(J29*K29,1/3),IF(I29="Inspección Periódica",$J$13+$K$13*POWER(J29*K29,1/3),IF(I29="Extensión de Vida Util",$J$14+$K$14*POWER(J29*K29,1/3),0)))*x!$C$10,0)</f>
        <v>0</v>
      </c>
      <c r="M29" s="133">
        <f t="shared" si="1"/>
        <v>0</v>
      </c>
      <c r="N29" s="249"/>
      <c r="O29" s="247"/>
      <c r="P29" s="248"/>
      <c r="Q29" s="132">
        <f>IF(O29*P29&gt;0,IF(N29="Habilitación",$L$12+$M$12*POWER(O29*P29,1/2),IF(N29="Inspección Periódica",$L$13+$M$13*POWER(O29*P29,1/2),IF(N29="Extensión de Vida Util",$L$14+$M$14*POWER(O29*P29,1/2),0)))*x!$C$10,0)</f>
        <v>0</v>
      </c>
    </row>
    <row r="30" spans="2:25" ht="13.5" customHeight="1" x14ac:dyDescent="0.2">
      <c r="B30" s="293"/>
      <c r="C30" s="294"/>
      <c r="D30" s="294"/>
      <c r="E30" s="294"/>
      <c r="F30" s="301"/>
      <c r="G30" s="1">
        <v>13</v>
      </c>
      <c r="H30" s="131">
        <f t="shared" si="0"/>
        <v>0</v>
      </c>
      <c r="I30" s="249"/>
      <c r="J30" s="247"/>
      <c r="K30" s="248"/>
      <c r="L30" s="132">
        <f>IF(J30*K30&gt;0,IF(I30="Habilitación",$J$12+$K$12*POWER(J30*K30,1/3),IF(I30="Inspección Periódica",$J$13+$K$13*POWER(J30*K30,1/3),IF(I30="Extensión de Vida Util",$J$14+$K$14*POWER(J30*K30,1/3),0)))*x!$C$10,0)</f>
        <v>0</v>
      </c>
      <c r="M30" s="133">
        <f t="shared" si="1"/>
        <v>0</v>
      </c>
      <c r="N30" s="249"/>
      <c r="O30" s="247"/>
      <c r="P30" s="248"/>
      <c r="Q30" s="132">
        <f>IF(O30*P30&gt;0,IF(N30="Habilitación",$L$12+$M$12*POWER(O30*P30,1/2),IF(N30="Inspección Periódica",$L$13+$M$13*POWER(O30*P30,1/2),IF(N30="Extensión de Vida Util",$L$14+$M$14*POWER(O30*P30,1/2),0)))*x!$C$10,0)</f>
        <v>0</v>
      </c>
    </row>
    <row r="31" spans="2:25" ht="13.5" customHeight="1" x14ac:dyDescent="0.2">
      <c r="B31" s="293"/>
      <c r="C31" s="294"/>
      <c r="D31" s="294"/>
      <c r="E31" s="294"/>
      <c r="F31" s="301"/>
      <c r="G31" s="1">
        <v>14</v>
      </c>
      <c r="H31" s="134">
        <f t="shared" si="0"/>
        <v>0</v>
      </c>
      <c r="I31" s="249"/>
      <c r="J31" s="247"/>
      <c r="K31" s="248"/>
      <c r="L31" s="132">
        <f>IF(J31*K31&gt;0,IF(I31="Habilitación",$J$12+$K$12*POWER(J31*K31,1/3),IF(I31="Inspección Periódica",$J$13+$K$13*POWER(J31*K31,1/3),IF(I31="Extensión de Vida Util",$J$14+$K$14*POWER(J31*K31,1/3),0)))*x!$C$10,0)</f>
        <v>0</v>
      </c>
      <c r="M31" s="133">
        <f t="shared" si="1"/>
        <v>0</v>
      </c>
      <c r="N31" s="249"/>
      <c r="O31" s="247"/>
      <c r="P31" s="248"/>
      <c r="Q31" s="132">
        <f>IF(O31*P31&gt;0,IF(N31="Habilitación",$L$12+$M$12*POWER(O31*P31,1/2),IF(N31="Inspección Periódica",$L$13+$M$13*POWER(O31*P31,1/2),IF(N31="Extensión de Vida Util",$L$14+$M$14*POWER(O31*P31,1/2),0)))*x!$C$10,0)</f>
        <v>0</v>
      </c>
    </row>
    <row r="32" spans="2:25" ht="13.5" customHeight="1" x14ac:dyDescent="0.2">
      <c r="B32" s="293"/>
      <c r="C32" s="294"/>
      <c r="D32" s="294"/>
      <c r="E32" s="294"/>
      <c r="F32" s="301"/>
      <c r="G32" s="1">
        <v>15</v>
      </c>
      <c r="H32" s="131">
        <f t="shared" si="0"/>
        <v>0</v>
      </c>
      <c r="I32" s="249"/>
      <c r="J32" s="247"/>
      <c r="K32" s="248"/>
      <c r="L32" s="132">
        <f>IF(J32*K32&gt;0,IF(I32="Habilitación",$J$12+$K$12*POWER(J32*K32,1/3),IF(I32="Inspección Periódica",$J$13+$K$13*POWER(J32*K32,1/3),IF(I32="Extensión de Vida Util",$J$14+$K$14*POWER(J32*K32,1/3),0)))*x!$C$10,0)</f>
        <v>0</v>
      </c>
      <c r="M32" s="133">
        <f t="shared" si="1"/>
        <v>0</v>
      </c>
      <c r="N32" s="249"/>
      <c r="O32" s="247"/>
      <c r="P32" s="248"/>
      <c r="Q32" s="132">
        <f>IF(O32*P32&gt;0,IF(N32="Habilitación",$L$12+$M$12*POWER(O32*P32,1/2),IF(N32="Inspección Periódica",$L$13+$M$13*POWER(O32*P32,1/2),IF(N32="Extensión de Vida Util",$L$14+$M$14*POWER(O32*P32,1/2),0)))*x!$C$10,0)</f>
        <v>0</v>
      </c>
    </row>
    <row r="33" spans="2:17" ht="13.5" customHeight="1" x14ac:dyDescent="0.2">
      <c r="B33" s="293"/>
      <c r="C33" s="294"/>
      <c r="D33" s="294"/>
      <c r="E33" s="294"/>
      <c r="F33" s="301"/>
      <c r="G33" s="1">
        <v>16</v>
      </c>
      <c r="H33" s="134">
        <f t="shared" si="0"/>
        <v>0</v>
      </c>
      <c r="I33" s="249"/>
      <c r="J33" s="247"/>
      <c r="K33" s="248"/>
      <c r="L33" s="132">
        <f>IF(J33*K33&gt;0,IF(I33="Habilitación",$J$12+$K$12*POWER(J33*K33,1/3),IF(I33="Inspección Periódica",$J$13+$K$13*POWER(J33*K33,1/3),IF(I33="Extensión de Vida Util",$J$14+$K$14*POWER(J33*K33,1/3),0)))*x!$C$10,0)</f>
        <v>0</v>
      </c>
      <c r="M33" s="133">
        <f t="shared" si="1"/>
        <v>0</v>
      </c>
      <c r="N33" s="249"/>
      <c r="O33" s="247"/>
      <c r="P33" s="248"/>
      <c r="Q33" s="132">
        <f>IF(O33*P33&gt;0,IF(N33="Habilitación",$L$12+$M$12*POWER(O33*P33,1/2),IF(N33="Inspección Periódica",$L$13+$M$13*POWER(O33*P33,1/2),IF(N33="Extensión de Vida Util",$L$14+$M$14*POWER(O33*P33,1/2),0)))*x!$C$10,0)</f>
        <v>0</v>
      </c>
    </row>
    <row r="34" spans="2:17" ht="13.5" customHeight="1" x14ac:dyDescent="0.2">
      <c r="B34" s="293"/>
      <c r="C34" s="294"/>
      <c r="D34" s="294"/>
      <c r="E34" s="294"/>
      <c r="F34" s="301"/>
      <c r="G34" s="1">
        <v>17</v>
      </c>
      <c r="H34" s="131">
        <f t="shared" si="0"/>
        <v>0</v>
      </c>
      <c r="I34" s="249"/>
      <c r="J34" s="247"/>
      <c r="K34" s="248"/>
      <c r="L34" s="132">
        <f>IF(J34*K34&gt;0,IF(I34="Habilitación",$J$12+$K$12*POWER(J34*K34,1/3),IF(I34="Inspección Periódica",$J$13+$K$13*POWER(J34*K34,1/3),IF(I34="Extensión de Vida Util",$J$14+$K$14*POWER(J34*K34,1/3),0)))*x!$C$10,0)</f>
        <v>0</v>
      </c>
      <c r="M34" s="133">
        <f t="shared" si="1"/>
        <v>0</v>
      </c>
      <c r="N34" s="249"/>
      <c r="O34" s="247"/>
      <c r="P34" s="248"/>
      <c r="Q34" s="132">
        <f>IF(O34*P34&gt;0,IF(N34="Habilitación",$L$12+$M$12*POWER(O34*P34,1/2),IF(N34="Inspección Periódica",$L$13+$M$13*POWER(O34*P34,1/2),IF(N34="Extensión de Vida Util",$L$14+$M$14*POWER(O34*P34,1/2),0)))*x!$C$10,0)</f>
        <v>0</v>
      </c>
    </row>
    <row r="35" spans="2:17" ht="13.5" customHeight="1" x14ac:dyDescent="0.2">
      <c r="B35" s="293"/>
      <c r="C35" s="294"/>
      <c r="D35" s="294"/>
      <c r="E35" s="294"/>
      <c r="F35" s="301"/>
      <c r="G35" s="1">
        <v>18</v>
      </c>
      <c r="H35" s="134">
        <f t="shared" si="0"/>
        <v>0</v>
      </c>
      <c r="I35" s="249"/>
      <c r="J35" s="247"/>
      <c r="K35" s="248"/>
      <c r="L35" s="132">
        <f>IF(J35*K35&gt;0,IF(I35="Habilitación",$J$12+$K$12*POWER(J35*K35,1/3),IF(I35="Inspección Periódica",$J$13+$K$13*POWER(J35*K35,1/3),IF(I35="Extensión de Vida Util",$J$14+$K$14*POWER(J35*K35,1/3),0)))*x!$C$10,0)</f>
        <v>0</v>
      </c>
      <c r="M35" s="133">
        <f t="shared" si="1"/>
        <v>0</v>
      </c>
      <c r="N35" s="249"/>
      <c r="O35" s="247"/>
      <c r="P35" s="248"/>
      <c r="Q35" s="132">
        <f>IF(O35*P35&gt;0,IF(N35="Habilitación",$L$12+$M$12*POWER(O35*P35,1/2),IF(N35="Inspección Periódica",$L$13+$M$13*POWER(O35*P35,1/2),IF(N35="Extensión de Vida Util",$L$14+$M$14*POWER(O35*P35,1/2),0)))*x!$C$10,0)</f>
        <v>0</v>
      </c>
    </row>
    <row r="36" spans="2:17" ht="13.5" customHeight="1" x14ac:dyDescent="0.2">
      <c r="B36" s="293"/>
      <c r="C36" s="294"/>
      <c r="D36" s="294"/>
      <c r="E36" s="294"/>
      <c r="F36" s="301"/>
      <c r="G36" s="1">
        <v>19</v>
      </c>
      <c r="H36" s="131">
        <f t="shared" si="0"/>
        <v>0</v>
      </c>
      <c r="I36" s="249"/>
      <c r="J36" s="247"/>
      <c r="K36" s="248"/>
      <c r="L36" s="132">
        <f>IF(J36*K36&gt;0,IF(I36="Habilitación",$J$12+$K$12*POWER(J36*K36,1/3),IF(I36="Inspección Periódica",$J$13+$K$13*POWER(J36*K36,1/3),IF(I36="Extensión de Vida Util",$J$14+$K$14*POWER(J36*K36,1/3),0)))*x!$C$10,0)</f>
        <v>0</v>
      </c>
      <c r="M36" s="133">
        <f t="shared" si="1"/>
        <v>0</v>
      </c>
      <c r="N36" s="249"/>
      <c r="O36" s="247"/>
      <c r="P36" s="248"/>
      <c r="Q36" s="132">
        <f>IF(O36*P36&gt;0,IF(N36="Habilitación",$L$12+$M$12*POWER(O36*P36,1/2),IF(N36="Inspección Periódica",$L$13+$M$13*POWER(O36*P36,1/2),IF(N36="Extensión de Vida Util",$L$14+$M$14*POWER(O36*P36,1/2),0)))*x!$C$10,0)</f>
        <v>0</v>
      </c>
    </row>
    <row r="37" spans="2:17" ht="13.5" customHeight="1" x14ac:dyDescent="0.2">
      <c r="B37" s="293"/>
      <c r="C37" s="294"/>
      <c r="D37" s="294"/>
      <c r="E37" s="294"/>
      <c r="F37" s="301"/>
      <c r="G37" s="1">
        <v>20</v>
      </c>
      <c r="H37" s="134">
        <f t="shared" si="0"/>
        <v>0</v>
      </c>
      <c r="I37" s="249"/>
      <c r="J37" s="247"/>
      <c r="K37" s="248"/>
      <c r="L37" s="132">
        <f>IF(J37*K37&gt;0,IF(I37="Habilitación",$J$12+$K$12*POWER(J37*K37,1/3),IF(I37="Inspección Periódica",$J$13+$K$13*POWER(J37*K37,1/3),IF(I37="Extensión de Vida Util",$J$14+$K$14*POWER(J37*K37,1/3),0)))*x!$C$10,0)</f>
        <v>0</v>
      </c>
      <c r="M37" s="133">
        <f t="shared" si="1"/>
        <v>0</v>
      </c>
      <c r="N37" s="249"/>
      <c r="O37" s="247"/>
      <c r="P37" s="248"/>
      <c r="Q37" s="132">
        <f>IF(O37*P37&gt;0,IF(N37="Habilitación",$L$12+$M$12*POWER(O37*P37,1/2),IF(N37="Inspección Periódica",$L$13+$M$13*POWER(O37*P37,1/2),IF(N37="Extensión de Vida Util",$L$14+$M$14*POWER(O37*P37,1/2),0)))*x!$C$10,0)</f>
        <v>0</v>
      </c>
    </row>
    <row r="38" spans="2:17" ht="13.5" customHeight="1" x14ac:dyDescent="0.2">
      <c r="B38" s="293"/>
      <c r="C38" s="294"/>
      <c r="D38" s="294"/>
      <c r="E38" s="294"/>
      <c r="F38" s="301"/>
      <c r="G38" s="1">
        <v>21</v>
      </c>
      <c r="H38" s="131">
        <f t="shared" si="0"/>
        <v>0</v>
      </c>
      <c r="I38" s="249"/>
      <c r="J38" s="247"/>
      <c r="K38" s="248"/>
      <c r="L38" s="132">
        <f>IF(J38*K38&gt;0,IF(I38="Habilitación",$J$12+$K$12*POWER(J38*K38,1/3),IF(I38="Inspección Periódica",$J$13+$K$13*POWER(J38*K38,1/3),IF(I38="Extensión de Vida Util",$J$14+$K$14*POWER(J38*K38,1/3),0)))*x!$C$10,0)</f>
        <v>0</v>
      </c>
      <c r="M38" s="133">
        <f t="shared" si="1"/>
        <v>0</v>
      </c>
      <c r="N38" s="249"/>
      <c r="O38" s="247"/>
      <c r="P38" s="248"/>
      <c r="Q38" s="132">
        <f>IF(O38*P38&gt;0,IF(N38="Habilitación",$L$12+$M$12*POWER(O38*P38,1/2),IF(N38="Inspección Periódica",$L$13+$M$13*POWER(O38*P38,1/2),IF(N38="Extensión de Vida Util",$L$14+$M$14*POWER(O38*P38,1/2),0)))*x!$C$10,0)</f>
        <v>0</v>
      </c>
    </row>
    <row r="39" spans="2:17" ht="13.5" customHeight="1" x14ac:dyDescent="0.2">
      <c r="B39" s="293"/>
      <c r="C39" s="294"/>
      <c r="D39" s="294"/>
      <c r="E39" s="294"/>
      <c r="F39" s="301"/>
      <c r="G39" s="1">
        <v>22</v>
      </c>
      <c r="H39" s="134">
        <f t="shared" si="0"/>
        <v>0</v>
      </c>
      <c r="I39" s="249"/>
      <c r="J39" s="247"/>
      <c r="K39" s="248"/>
      <c r="L39" s="132">
        <f>IF(J39*K39&gt;0,IF(I39="Habilitación",$J$12+$K$12*POWER(J39*K39,1/3),IF(I39="Inspección Periódica",$J$13+$K$13*POWER(J39*K39,1/3),IF(I39="Extensión de Vida Util",$J$14+$K$14*POWER(J39*K39,1/3),0)))*x!$C$10,0)</f>
        <v>0</v>
      </c>
      <c r="M39" s="133">
        <f t="shared" si="1"/>
        <v>0</v>
      </c>
      <c r="N39" s="249"/>
      <c r="O39" s="247"/>
      <c r="P39" s="248"/>
      <c r="Q39" s="132">
        <f>IF(O39*P39&gt;0,IF(N39="Habilitación",$L$12+$M$12*POWER(O39*P39,1/2),IF(N39="Inspección Periódica",$L$13+$M$13*POWER(O39*P39,1/2),IF(N39="Extensión de Vida Util",$L$14+$M$14*POWER(O39*P39,1/2),0)))*x!$C$10,0)</f>
        <v>0</v>
      </c>
    </row>
    <row r="40" spans="2:17" ht="13.5" customHeight="1" x14ac:dyDescent="0.2">
      <c r="B40" s="293"/>
      <c r="C40" s="294"/>
      <c r="D40" s="294"/>
      <c r="E40" s="294"/>
      <c r="F40" s="301"/>
      <c r="G40" s="1">
        <v>23</v>
      </c>
      <c r="H40" s="131">
        <f t="shared" si="0"/>
        <v>0</v>
      </c>
      <c r="I40" s="249"/>
      <c r="J40" s="247"/>
      <c r="K40" s="248"/>
      <c r="L40" s="132">
        <f>IF(J40*K40&gt;0,IF(I40="Habilitación",$J$12+$K$12*POWER(J40*K40,1/3),IF(I40="Inspección Periódica",$J$13+$K$13*POWER(J40*K40,1/3),IF(I40="Extensión de Vida Util",$J$14+$K$14*POWER(J40*K40,1/3),0)))*x!$C$10,0)</f>
        <v>0</v>
      </c>
      <c r="M40" s="133">
        <f t="shared" si="1"/>
        <v>0</v>
      </c>
      <c r="N40" s="249"/>
      <c r="O40" s="247"/>
      <c r="P40" s="248"/>
      <c r="Q40" s="132">
        <f>IF(O40*P40&gt;0,IF(N40="Habilitación",$L$12+$M$12*POWER(O40*P40,1/2),IF(N40="Inspección Periódica",$L$13+$M$13*POWER(O40*P40,1/2),IF(N40="Extensión de Vida Util",$L$14+$M$14*POWER(O40*P40,1/2),0)))*x!$C$10,0)</f>
        <v>0</v>
      </c>
    </row>
    <row r="41" spans="2:17" ht="13.5" customHeight="1" x14ac:dyDescent="0.2">
      <c r="B41" s="293"/>
      <c r="C41" s="294"/>
      <c r="D41" s="294"/>
      <c r="E41" s="294"/>
      <c r="F41" s="301"/>
      <c r="G41" s="1">
        <v>24</v>
      </c>
      <c r="H41" s="134">
        <f t="shared" si="0"/>
        <v>0</v>
      </c>
      <c r="I41" s="249"/>
      <c r="J41" s="247"/>
      <c r="K41" s="248"/>
      <c r="L41" s="132">
        <f>IF(J41*K41&gt;0,IF(I41="Habilitación",$J$12+$K$12*POWER(J41*K41,1/3),IF(I41="Inspección Periódica",$J$13+$K$13*POWER(J41*K41,1/3),IF(I41="Extensión de Vida Util",$J$14+$K$14*POWER(J41*K41,1/3),0)))*x!$C$10,0)</f>
        <v>0</v>
      </c>
      <c r="M41" s="133">
        <f t="shared" si="1"/>
        <v>0</v>
      </c>
      <c r="N41" s="249"/>
      <c r="O41" s="247"/>
      <c r="P41" s="248"/>
      <c r="Q41" s="132">
        <f>IF(O41*P41&gt;0,IF(N41="Habilitación",$L$12+$M$12*POWER(O41*P41,1/2),IF(N41="Inspección Periódica",$L$13+$M$13*POWER(O41*P41,1/2),IF(N41="Extensión de Vida Util",$L$14+$M$14*POWER(O41*P41,1/2),0)))*x!$C$10,0)</f>
        <v>0</v>
      </c>
    </row>
    <row r="42" spans="2:17" ht="13.5" customHeight="1" x14ac:dyDescent="0.2">
      <c r="B42" s="293"/>
      <c r="C42" s="294"/>
      <c r="D42" s="294"/>
      <c r="E42" s="294"/>
      <c r="F42" s="301"/>
      <c r="G42" s="1">
        <v>25</v>
      </c>
      <c r="H42" s="131">
        <f t="shared" si="0"/>
        <v>0</v>
      </c>
      <c r="I42" s="249"/>
      <c r="J42" s="247"/>
      <c r="K42" s="248"/>
      <c r="L42" s="132">
        <f>IF(J42*K42&gt;0,IF(I42="Habilitación",$J$12+$K$12*POWER(J42*K42,1/3),IF(I42="Inspección Periódica",$J$13+$K$13*POWER(J42*K42,1/3),IF(I42="Extensión de Vida Util",$J$14+$K$14*POWER(J42*K42,1/3),0)))*x!$C$10,0)</f>
        <v>0</v>
      </c>
      <c r="M42" s="133">
        <f t="shared" si="1"/>
        <v>0</v>
      </c>
      <c r="N42" s="249"/>
      <c r="O42" s="247"/>
      <c r="P42" s="248"/>
      <c r="Q42" s="132">
        <f>IF(O42*P42&gt;0,IF(N42="Habilitación",$L$12+$M$12*POWER(O42*P42,1/2),IF(N42="Inspección Periódica",$L$13+$M$13*POWER(O42*P42,1/2),IF(N42="Extensión de Vida Util",$L$14+$M$14*POWER(O42*P42,1/2),0)))*x!$C$10,0)</f>
        <v>0</v>
      </c>
    </row>
    <row r="43" spans="2:17" ht="13.5" customHeight="1" x14ac:dyDescent="0.2">
      <c r="B43" s="293"/>
      <c r="C43" s="294"/>
      <c r="D43" s="294"/>
      <c r="E43" s="294"/>
      <c r="F43" s="301"/>
      <c r="G43" s="1">
        <v>26</v>
      </c>
      <c r="H43" s="134">
        <f t="shared" si="0"/>
        <v>0</v>
      </c>
      <c r="I43" s="249"/>
      <c r="J43" s="247"/>
      <c r="K43" s="248"/>
      <c r="L43" s="132">
        <f>IF(J43*K43&gt;0,IF(I43="Habilitación",$J$12+$K$12*POWER(J43*K43,1/3),IF(I43="Inspección Periódica",$J$13+$K$13*POWER(J43*K43,1/3),IF(I43="Extensión de Vida Util",$J$14+$K$14*POWER(J43*K43,1/3),0)))*x!$C$10,0)</f>
        <v>0</v>
      </c>
      <c r="M43" s="133">
        <f t="shared" si="1"/>
        <v>0</v>
      </c>
      <c r="N43" s="249"/>
      <c r="O43" s="247"/>
      <c r="P43" s="248"/>
      <c r="Q43" s="132">
        <f>IF(O43*P43&gt;0,IF(N43="Habilitación",$L$12+$M$12*POWER(O43*P43,1/2),IF(N43="Inspección Periódica",$L$13+$M$13*POWER(O43*P43,1/2),IF(N43="Extensión de Vida Util",$L$14+$M$14*POWER(O43*P43,1/2),0)))*x!$C$10,0)</f>
        <v>0</v>
      </c>
    </row>
    <row r="44" spans="2:17" ht="13.5" customHeight="1" x14ac:dyDescent="0.2">
      <c r="B44" s="293"/>
      <c r="C44" s="294"/>
      <c r="D44" s="294"/>
      <c r="E44" s="294"/>
      <c r="F44" s="301"/>
      <c r="G44" s="1">
        <v>27</v>
      </c>
      <c r="H44" s="131">
        <f t="shared" si="0"/>
        <v>0</v>
      </c>
      <c r="I44" s="249"/>
      <c r="J44" s="247"/>
      <c r="K44" s="248"/>
      <c r="L44" s="132">
        <f>IF(J44*K44&gt;0,IF(I44="Habilitación",$J$12+$K$12*POWER(J44*K44,1/3),IF(I44="Inspección Periódica",$J$13+$K$13*POWER(J44*K44,1/3),IF(I44="Extensión de Vida Util",$J$14+$K$14*POWER(J44*K44,1/3),0)))*x!$C$10,0)</f>
        <v>0</v>
      </c>
      <c r="M44" s="133">
        <f t="shared" si="1"/>
        <v>0</v>
      </c>
      <c r="N44" s="249"/>
      <c r="O44" s="247"/>
      <c r="P44" s="248"/>
      <c r="Q44" s="132">
        <f>IF(O44*P44&gt;0,IF(N44="Habilitación",$L$12+$M$12*POWER(O44*P44,1/2),IF(N44="Inspección Periódica",$L$13+$M$13*POWER(O44*P44,1/2),IF(N44="Extensión de Vida Util",$L$14+$M$14*POWER(O44*P44,1/2),0)))*x!$C$10,0)</f>
        <v>0</v>
      </c>
    </row>
    <row r="45" spans="2:17" ht="13.5" customHeight="1" x14ac:dyDescent="0.2">
      <c r="B45" s="293"/>
      <c r="C45" s="294"/>
      <c r="D45" s="294"/>
      <c r="E45" s="294"/>
      <c r="F45" s="301"/>
      <c r="G45" s="1">
        <v>28</v>
      </c>
      <c r="H45" s="134">
        <f t="shared" si="0"/>
        <v>0</v>
      </c>
      <c r="I45" s="249"/>
      <c r="J45" s="247"/>
      <c r="K45" s="248"/>
      <c r="L45" s="132">
        <f>IF(J45*K45&gt;0,IF(I45="Habilitación",$J$12+$K$12*POWER(J45*K45,1/3),IF(I45="Inspección Periódica",$J$13+$K$13*POWER(J45*K45,1/3),IF(I45="Extensión de Vida Util",$J$14+$K$14*POWER(J45*K45,1/3),0)))*x!$C$10,0)</f>
        <v>0</v>
      </c>
      <c r="M45" s="133">
        <f t="shared" si="1"/>
        <v>0</v>
      </c>
      <c r="N45" s="249"/>
      <c r="O45" s="247"/>
      <c r="P45" s="248"/>
      <c r="Q45" s="132">
        <f>IF(O45*P45&gt;0,IF(N45="Habilitación",$L$12+$M$12*POWER(O45*P45,1/2),IF(N45="Inspección Periódica",$L$13+$M$13*POWER(O45*P45,1/2),IF(N45="Extensión de Vida Util",$L$14+$M$14*POWER(O45*P45,1/2),0)))*x!$C$10,0)</f>
        <v>0</v>
      </c>
    </row>
    <row r="46" spans="2:17" ht="13.5" customHeight="1" x14ac:dyDescent="0.2">
      <c r="B46" s="293"/>
      <c r="C46" s="294"/>
      <c r="D46" s="294"/>
      <c r="E46" s="294"/>
      <c r="F46" s="301"/>
      <c r="G46" s="1">
        <v>29</v>
      </c>
      <c r="H46" s="131">
        <f t="shared" si="0"/>
        <v>0</v>
      </c>
      <c r="I46" s="249"/>
      <c r="J46" s="247"/>
      <c r="K46" s="248"/>
      <c r="L46" s="132">
        <f>IF(J46*K46&gt;0,IF(I46="Habilitación",$J$12+$K$12*POWER(J46*K46,1/3),IF(I46="Inspección Periódica",$J$13+$K$13*POWER(J46*K46,1/3),IF(I46="Extensión de Vida Util",$J$14+$K$14*POWER(J46*K46,1/3),0)))*x!$C$10,0)</f>
        <v>0</v>
      </c>
      <c r="M46" s="133">
        <f t="shared" si="1"/>
        <v>0</v>
      </c>
      <c r="N46" s="249"/>
      <c r="O46" s="247"/>
      <c r="P46" s="248"/>
      <c r="Q46" s="132">
        <f>IF(O46*P46&gt;0,IF(N46="Habilitación",$L$12+$M$12*POWER(O46*P46,1/2),IF(N46="Inspección Periódica",$L$13+$M$13*POWER(O46*P46,1/2),IF(N46="Extensión de Vida Util",$L$14+$M$14*POWER(O46*P46,1/2),0)))*x!$C$10,0)</f>
        <v>0</v>
      </c>
    </row>
    <row r="47" spans="2:17" ht="13.5" customHeight="1" x14ac:dyDescent="0.2">
      <c r="B47" s="293"/>
      <c r="C47" s="294"/>
      <c r="D47" s="294"/>
      <c r="E47" s="294"/>
      <c r="F47" s="301"/>
      <c r="G47" s="1">
        <v>30</v>
      </c>
      <c r="H47" s="134">
        <f t="shared" si="0"/>
        <v>0</v>
      </c>
      <c r="I47" s="249"/>
      <c r="J47" s="247"/>
      <c r="K47" s="248"/>
      <c r="L47" s="132">
        <f>IF(J47*K47&gt;0,IF(I47="Habilitación",$J$12+$K$12*POWER(J47*K47,1/3),IF(I47="Inspección Periódica",$J$13+$K$13*POWER(J47*K47,1/3),IF(I47="Extensión de Vida Util",$J$14+$K$14*POWER(J47*K47,1/3),0)))*x!$C$10,0)</f>
        <v>0</v>
      </c>
      <c r="M47" s="133">
        <f t="shared" si="1"/>
        <v>0</v>
      </c>
      <c r="N47" s="249"/>
      <c r="O47" s="247"/>
      <c r="P47" s="248"/>
      <c r="Q47" s="132">
        <f>IF(O47*P47&gt;0,IF(N47="Habilitación",$L$12+$M$12*POWER(O47*P47,1/2),IF(N47="Inspección Periódica",$L$13+$M$13*POWER(O47*P47,1/2),IF(N47="Extensión de Vida Util",$L$14+$M$14*POWER(O47*P47,1/2),0)))*x!$C$10,0)</f>
        <v>0</v>
      </c>
    </row>
    <row r="48" spans="2:17" ht="13.5" customHeight="1" x14ac:dyDescent="0.2">
      <c r="B48" s="293"/>
      <c r="C48" s="294"/>
      <c r="D48" s="294"/>
      <c r="E48" s="294"/>
      <c r="F48" s="301"/>
      <c r="G48" s="1">
        <v>31</v>
      </c>
      <c r="H48" s="131">
        <f t="shared" si="0"/>
        <v>0</v>
      </c>
      <c r="I48" s="249"/>
      <c r="J48" s="247"/>
      <c r="K48" s="248"/>
      <c r="L48" s="132">
        <f>IF(J48*K48&gt;0,IF(I48="Habilitación",$J$12+$K$12*POWER(J48*K48,1/3),IF(I48="Inspección Periódica",$J$13+$K$13*POWER(J48*K48,1/3),IF(I48="Extensión de Vida Util",$J$14+$K$14*POWER(J48*K48,1/3),0)))*x!$C$10,0)</f>
        <v>0</v>
      </c>
      <c r="M48" s="133">
        <f t="shared" si="1"/>
        <v>0</v>
      </c>
      <c r="N48" s="249"/>
      <c r="O48" s="247"/>
      <c r="P48" s="248"/>
      <c r="Q48" s="132">
        <f>IF(O48*P48&gt;0,IF(N48="Habilitación",$L$12+$M$12*POWER(O48*P48,1/2),IF(N48="Inspección Periódica",$L$13+$M$13*POWER(O48*P48,1/2),IF(N48="Extensión de Vida Util",$L$14+$M$14*POWER(O48*P48,1/2),0)))*x!$C$10,0)</f>
        <v>0</v>
      </c>
    </row>
    <row r="49" spans="2:17" ht="13.5" customHeight="1" x14ac:dyDescent="0.2">
      <c r="B49" s="293"/>
      <c r="C49" s="294"/>
      <c r="D49" s="294"/>
      <c r="E49" s="294"/>
      <c r="F49" s="301"/>
      <c r="G49" s="1">
        <v>32</v>
      </c>
      <c r="H49" s="134">
        <f t="shared" si="0"/>
        <v>0</v>
      </c>
      <c r="I49" s="249"/>
      <c r="J49" s="247"/>
      <c r="K49" s="248"/>
      <c r="L49" s="132">
        <f>IF(J49*K49&gt;0,IF(I49="Habilitación",$J$12+$K$12*POWER(J49*K49,1/3),IF(I49="Inspección Periódica",$J$13+$K$13*POWER(J49*K49,1/3),IF(I49="Extensión de Vida Util",$J$14+$K$14*POWER(J49*K49,1/3),0)))*x!$C$10,0)</f>
        <v>0</v>
      </c>
      <c r="M49" s="133">
        <f t="shared" si="1"/>
        <v>0</v>
      </c>
      <c r="N49" s="249"/>
      <c r="O49" s="247"/>
      <c r="P49" s="248"/>
      <c r="Q49" s="132">
        <f>IF(O49*P49&gt;0,IF(N49="Habilitación",$L$12+$M$12*POWER(O49*P49,1/2),IF(N49="Inspección Periódica",$L$13+$M$13*POWER(O49*P49,1/2),IF(N49="Extensión de Vida Util",$L$14+$M$14*POWER(O49*P49,1/2),0)))*x!$C$10,0)</f>
        <v>0</v>
      </c>
    </row>
    <row r="50" spans="2:17" ht="13.5" customHeight="1" x14ac:dyDescent="0.2">
      <c r="B50" s="293"/>
      <c r="C50" s="294"/>
      <c r="D50" s="294"/>
      <c r="E50" s="294"/>
      <c r="F50" s="301"/>
      <c r="G50" s="1">
        <v>33</v>
      </c>
      <c r="H50" s="131">
        <f t="shared" si="0"/>
        <v>0</v>
      </c>
      <c r="I50" s="249"/>
      <c r="J50" s="247"/>
      <c r="K50" s="248"/>
      <c r="L50" s="132">
        <f>IF(J50*K50&gt;0,IF(I50="Habilitación",$J$12+$K$12*POWER(J50*K50,1/3),IF(I50="Inspección Periódica",$J$13+$K$13*POWER(J50*K50,1/3),IF(I50="Extensión de Vida Util",$J$14+$K$14*POWER(J50*K50,1/3),0)))*x!$C$10,0)</f>
        <v>0</v>
      </c>
      <c r="M50" s="133">
        <f t="shared" si="1"/>
        <v>0</v>
      </c>
      <c r="N50" s="249"/>
      <c r="O50" s="247"/>
      <c r="P50" s="248"/>
      <c r="Q50" s="132">
        <f>IF(O50*P50&gt;0,IF(N50="Habilitación",$L$12+$M$12*POWER(O50*P50,1/2),IF(N50="Inspección Periódica",$L$13+$M$13*POWER(O50*P50,1/2),IF(N50="Extensión de Vida Util",$L$14+$M$14*POWER(O50*P50,1/2),0)))*x!$C$10,0)</f>
        <v>0</v>
      </c>
    </row>
    <row r="51" spans="2:17" ht="13.5" customHeight="1" x14ac:dyDescent="0.2">
      <c r="B51" s="293"/>
      <c r="C51" s="294"/>
      <c r="D51" s="294"/>
      <c r="E51" s="294"/>
      <c r="F51" s="301"/>
      <c r="G51" s="1">
        <v>34</v>
      </c>
      <c r="H51" s="134">
        <f t="shared" si="0"/>
        <v>0</v>
      </c>
      <c r="I51" s="249"/>
      <c r="J51" s="247"/>
      <c r="K51" s="248"/>
      <c r="L51" s="132">
        <f>IF(J51*K51&gt;0,IF(I51="Habilitación",$J$12+$K$12*POWER(J51*K51,1/3),IF(I51="Inspección Periódica",$J$13+$K$13*POWER(J51*K51,1/3),IF(I51="Extensión de Vida Util",$J$14+$K$14*POWER(J51*K51,1/3),0)))*x!$C$10,0)</f>
        <v>0</v>
      </c>
      <c r="M51" s="133">
        <f t="shared" si="1"/>
        <v>0</v>
      </c>
      <c r="N51" s="249"/>
      <c r="O51" s="247"/>
      <c r="P51" s="248"/>
      <c r="Q51" s="132">
        <f>IF(O51*P51&gt;0,IF(N51="Habilitación",$L$12+$M$12*POWER(O51*P51,1/2),IF(N51="Inspección Periódica",$L$13+$M$13*POWER(O51*P51,1/2),IF(N51="Extensión de Vida Util",$L$14+$M$14*POWER(O51*P51,1/2),0)))*x!$C$10,0)</f>
        <v>0</v>
      </c>
    </row>
    <row r="52" spans="2:17" ht="13.5" customHeight="1" x14ac:dyDescent="0.2">
      <c r="B52" s="293"/>
      <c r="C52" s="294"/>
      <c r="D52" s="294"/>
      <c r="E52" s="294"/>
      <c r="F52" s="301"/>
      <c r="G52" s="1">
        <v>35</v>
      </c>
      <c r="H52" s="131">
        <f t="shared" si="0"/>
        <v>0</v>
      </c>
      <c r="I52" s="249"/>
      <c r="J52" s="247"/>
      <c r="K52" s="248"/>
      <c r="L52" s="132">
        <f>IF(J52*K52&gt;0,IF(I52="Habilitación",$J$12+$K$12*POWER(J52*K52,1/3),IF(I52="Inspección Periódica",$J$13+$K$13*POWER(J52*K52,1/3),IF(I52="Extensión de Vida Util",$J$14+$K$14*POWER(J52*K52,1/3),0)))*x!$C$10,0)</f>
        <v>0</v>
      </c>
      <c r="M52" s="133">
        <f t="shared" si="1"/>
        <v>0</v>
      </c>
      <c r="N52" s="249"/>
      <c r="O52" s="247"/>
      <c r="P52" s="248"/>
      <c r="Q52" s="132">
        <f>IF(O52*P52&gt;0,IF(N52="Habilitación",$L$12+$M$12*POWER(O52*P52,1/2),IF(N52="Inspección Periódica",$L$13+$M$13*POWER(O52*P52,1/2),IF(N52="Extensión de Vida Util",$L$14+$M$14*POWER(O52*P52,1/2),0)))*x!$C$10,0)</f>
        <v>0</v>
      </c>
    </row>
    <row r="53" spans="2:17" ht="13.5" customHeight="1" x14ac:dyDescent="0.2">
      <c r="B53" s="293"/>
      <c r="C53" s="294"/>
      <c r="D53" s="294"/>
      <c r="E53" s="294"/>
      <c r="F53" s="301"/>
      <c r="G53" s="1">
        <v>36</v>
      </c>
      <c r="H53" s="134">
        <f t="shared" si="0"/>
        <v>0</v>
      </c>
      <c r="I53" s="249"/>
      <c r="J53" s="247"/>
      <c r="K53" s="248"/>
      <c r="L53" s="132">
        <f>IF(J53*K53&gt;0,IF(I53="Habilitación",$J$12+$K$12*POWER(J53*K53,1/3),IF(I53="Inspección Periódica",$J$13+$K$13*POWER(J53*K53,1/3),IF(I53="Extensión de Vida Util",$J$14+$K$14*POWER(J53*K53,1/3),0)))*x!$C$10,0)</f>
        <v>0</v>
      </c>
      <c r="M53" s="133">
        <f t="shared" si="1"/>
        <v>0</v>
      </c>
      <c r="N53" s="249"/>
      <c r="O53" s="247"/>
      <c r="P53" s="248"/>
      <c r="Q53" s="132">
        <f>IF(O53*P53&gt;0,IF(N53="Habilitación",$L$12+$M$12*POWER(O53*P53,1/2),IF(N53="Inspección Periódica",$L$13+$M$13*POWER(O53*P53,1/2),IF(N53="Extensión de Vida Util",$L$14+$M$14*POWER(O53*P53,1/2),0)))*x!$C$10,0)</f>
        <v>0</v>
      </c>
    </row>
    <row r="54" spans="2:17" ht="13.5" customHeight="1" x14ac:dyDescent="0.2">
      <c r="B54" s="293"/>
      <c r="C54" s="294"/>
      <c r="D54" s="294"/>
      <c r="E54" s="294"/>
      <c r="F54" s="301"/>
      <c r="G54" s="1">
        <v>37</v>
      </c>
      <c r="H54" s="131">
        <f t="shared" si="0"/>
        <v>0</v>
      </c>
      <c r="I54" s="249"/>
      <c r="J54" s="247"/>
      <c r="K54" s="248"/>
      <c r="L54" s="132">
        <f>IF(J54*K54&gt;0,IF(I54="Habilitación",$J$12+$K$12*POWER(J54*K54,1/3),IF(I54="Inspección Periódica",$J$13+$K$13*POWER(J54*K54,1/3),IF(I54="Extensión de Vida Util",$J$14+$K$14*POWER(J54*K54,1/3),0)))*x!$C$10,0)</f>
        <v>0</v>
      </c>
      <c r="M54" s="133">
        <f t="shared" si="1"/>
        <v>0</v>
      </c>
      <c r="N54" s="249"/>
      <c r="O54" s="247"/>
      <c r="P54" s="248"/>
      <c r="Q54" s="132">
        <f>IF(O54*P54&gt;0,IF(N54="Habilitación",$L$12+$M$12*POWER(O54*P54,1/2),IF(N54="Inspección Periódica",$L$13+$M$13*POWER(O54*P54,1/2),IF(N54="Extensión de Vida Util",$L$14+$M$14*POWER(O54*P54,1/2),0)))*x!$C$10,0)</f>
        <v>0</v>
      </c>
    </row>
    <row r="55" spans="2:17" ht="13.5" customHeight="1" x14ac:dyDescent="0.2">
      <c r="B55" s="293"/>
      <c r="C55" s="294"/>
      <c r="D55" s="294"/>
      <c r="E55" s="294"/>
      <c r="F55" s="301"/>
      <c r="G55" s="1">
        <v>38</v>
      </c>
      <c r="H55" s="134">
        <f t="shared" si="0"/>
        <v>0</v>
      </c>
      <c r="I55" s="249"/>
      <c r="J55" s="247"/>
      <c r="K55" s="248"/>
      <c r="L55" s="132">
        <f>IF(J55*K55&gt;0,IF(I55="Habilitación",$J$12+$K$12*POWER(J55*K55,1/3),IF(I55="Inspección Periódica",$J$13+$K$13*POWER(J55*K55,1/3),IF(I55="Extensión de Vida Util",$J$14+$K$14*POWER(J55*K55,1/3),0)))*x!$C$10,0)</f>
        <v>0</v>
      </c>
      <c r="M55" s="133">
        <f t="shared" si="1"/>
        <v>0</v>
      </c>
      <c r="N55" s="249"/>
      <c r="O55" s="247"/>
      <c r="P55" s="248"/>
      <c r="Q55" s="132">
        <f>IF(O55*P55&gt;0,IF(N55="Habilitación",$L$12+$M$12*POWER(O55*P55,1/2),IF(N55="Inspección Periódica",$L$13+$M$13*POWER(O55*P55,1/2),IF(N55="Extensión de Vida Util",$L$14+$M$14*POWER(O55*P55,1/2),0)))*x!$C$10,0)</f>
        <v>0</v>
      </c>
    </row>
    <row r="56" spans="2:17" ht="13.5" customHeight="1" x14ac:dyDescent="0.2">
      <c r="B56" s="293"/>
      <c r="C56" s="294"/>
      <c r="D56" s="294"/>
      <c r="E56" s="294"/>
      <c r="F56" s="301"/>
      <c r="G56" s="1">
        <v>39</v>
      </c>
      <c r="H56" s="131">
        <f t="shared" si="0"/>
        <v>0</v>
      </c>
      <c r="I56" s="249"/>
      <c r="J56" s="247"/>
      <c r="K56" s="248"/>
      <c r="L56" s="132">
        <f>IF(J56*K56&gt;0,IF(I56="Habilitación",$J$12+$K$12*POWER(J56*K56,1/3),IF(I56="Inspección Periódica",$J$13+$K$13*POWER(J56*K56,1/3),IF(I56="Extensión de Vida Util",$J$14+$K$14*POWER(J56*K56,1/3),0)))*x!$C$10,0)</f>
        <v>0</v>
      </c>
      <c r="M56" s="133">
        <f t="shared" si="1"/>
        <v>0</v>
      </c>
      <c r="N56" s="249"/>
      <c r="O56" s="247"/>
      <c r="P56" s="248"/>
      <c r="Q56" s="132">
        <f>IF(O56*P56&gt;0,IF(N56="Habilitación",$L$12+$M$12*POWER(O56*P56,1/2),IF(N56="Inspección Periódica",$L$13+$M$13*POWER(O56*P56,1/2),IF(N56="Extensión de Vida Util",$L$14+$M$14*POWER(O56*P56,1/2),0)))*x!$C$10,0)</f>
        <v>0</v>
      </c>
    </row>
    <row r="57" spans="2:17" ht="13.5" customHeight="1" x14ac:dyDescent="0.2">
      <c r="B57" s="293"/>
      <c r="C57" s="294"/>
      <c r="D57" s="294"/>
      <c r="E57" s="294"/>
      <c r="F57" s="301"/>
      <c r="G57" s="1">
        <v>40</v>
      </c>
      <c r="H57" s="134">
        <f t="shared" si="0"/>
        <v>0</v>
      </c>
      <c r="I57" s="249"/>
      <c r="J57" s="247"/>
      <c r="K57" s="248"/>
      <c r="L57" s="132">
        <f>IF(J57*K57&gt;0,IF(I57="Habilitación",$J$12+$K$12*POWER(J57*K57,1/3),IF(I57="Inspección Periódica",$J$13+$K$13*POWER(J57*K57,1/3),IF(I57="Extensión de Vida Util",$J$14+$K$14*POWER(J57*K57,1/3),0)))*x!$C$10,0)</f>
        <v>0</v>
      </c>
      <c r="M57" s="133">
        <f t="shared" si="1"/>
        <v>0</v>
      </c>
      <c r="N57" s="249"/>
      <c r="O57" s="247"/>
      <c r="P57" s="248"/>
      <c r="Q57" s="132">
        <f>IF(O57*P57&gt;0,IF(N57="Habilitación",$L$12+$M$12*POWER(O57*P57,1/2),IF(N57="Inspección Periódica",$L$13+$M$13*POWER(O57*P57,1/2),IF(N57="Extensión de Vida Util",$L$14+$M$14*POWER(O57*P57,1/2),0)))*x!$C$10,0)</f>
        <v>0</v>
      </c>
    </row>
    <row r="58" spans="2:17" ht="13.5" customHeight="1" x14ac:dyDescent="0.2">
      <c r="B58" s="293"/>
      <c r="C58" s="294"/>
      <c r="D58" s="294"/>
      <c r="E58" s="294"/>
      <c r="F58" s="301"/>
      <c r="G58" s="1">
        <v>41</v>
      </c>
      <c r="H58" s="131">
        <f t="shared" si="0"/>
        <v>0</v>
      </c>
      <c r="I58" s="249"/>
      <c r="J58" s="247"/>
      <c r="K58" s="248"/>
      <c r="L58" s="132">
        <f>IF(J58*K58&gt;0,IF(I58="Habilitación",$J$12+$K$12*POWER(J58*K58,1/3),IF(I58="Inspección Periódica",$J$13+$K$13*POWER(J58*K58,1/3),IF(I58="Extensión de Vida Util",$J$14+$K$14*POWER(J58*K58,1/3),0)))*x!$C$10,0)</f>
        <v>0</v>
      </c>
      <c r="M58" s="133">
        <f t="shared" si="1"/>
        <v>0</v>
      </c>
      <c r="N58" s="249"/>
      <c r="O58" s="247"/>
      <c r="P58" s="248"/>
      <c r="Q58" s="132">
        <f>IF(O58*P58&gt;0,IF(N58="Habilitación",$L$12+$M$12*POWER(O58*P58,1/2),IF(N58="Inspección Periódica",$L$13+$M$13*POWER(O58*P58,1/2),IF(N58="Extensión de Vida Util",$L$14+$M$14*POWER(O58*P58,1/2),0)))*x!$C$10,0)</f>
        <v>0</v>
      </c>
    </row>
    <row r="59" spans="2:17" ht="13.5" customHeight="1" x14ac:dyDescent="0.2">
      <c r="B59" s="293"/>
      <c r="C59" s="294"/>
      <c r="D59" s="294"/>
      <c r="E59" s="294"/>
      <c r="F59" s="301"/>
      <c r="G59" s="1">
        <v>42</v>
      </c>
      <c r="H59" s="134">
        <f t="shared" si="0"/>
        <v>0</v>
      </c>
      <c r="I59" s="249"/>
      <c r="J59" s="247"/>
      <c r="K59" s="248"/>
      <c r="L59" s="132">
        <f>IF(J59*K59&gt;0,IF(I59="Habilitación",$J$12+$K$12*POWER(J59*K59,1/3),IF(I59="Inspección Periódica",$J$13+$K$13*POWER(J59*K59,1/3),IF(I59="Extensión de Vida Util",$J$14+$K$14*POWER(J59*K59,1/3),0)))*x!$C$10,0)</f>
        <v>0</v>
      </c>
      <c r="M59" s="133">
        <f t="shared" si="1"/>
        <v>0</v>
      </c>
      <c r="N59" s="249"/>
      <c r="O59" s="247"/>
      <c r="P59" s="248"/>
      <c r="Q59" s="132">
        <f>IF(O59*P59&gt;0,IF(N59="Habilitación",$L$12+$M$12*POWER(O59*P59,1/2),IF(N59="Inspección Periódica",$L$13+$M$13*POWER(O59*P59,1/2),IF(N59="Extensión de Vida Util",$L$14+$M$14*POWER(O59*P59,1/2),0)))*x!$C$10,0)</f>
        <v>0</v>
      </c>
    </row>
    <row r="60" spans="2:17" ht="13.5" customHeight="1" x14ac:dyDescent="0.2">
      <c r="B60" s="293"/>
      <c r="C60" s="294"/>
      <c r="D60" s="294"/>
      <c r="E60" s="294"/>
      <c r="F60" s="301"/>
      <c r="G60" s="1">
        <v>43</v>
      </c>
      <c r="H60" s="131">
        <f t="shared" si="0"/>
        <v>0</v>
      </c>
      <c r="I60" s="249"/>
      <c r="J60" s="247"/>
      <c r="K60" s="248"/>
      <c r="L60" s="132">
        <f>IF(J60*K60&gt;0,IF(I60="Habilitación",$J$12+$K$12*POWER(J60*K60,1/3),IF(I60="Inspección Periódica",$J$13+$K$13*POWER(J60*K60,1/3),IF(I60="Extensión de Vida Util",$J$14+$K$14*POWER(J60*K60,1/3),0)))*x!$C$10,0)</f>
        <v>0</v>
      </c>
      <c r="M60" s="133">
        <f t="shared" si="1"/>
        <v>0</v>
      </c>
      <c r="N60" s="249"/>
      <c r="O60" s="247"/>
      <c r="P60" s="248"/>
      <c r="Q60" s="132">
        <f>IF(O60*P60&gt;0,IF(N60="Habilitación",$L$12+$M$12*POWER(O60*P60,1/2),IF(N60="Inspección Periódica",$L$13+$M$13*POWER(O60*P60,1/2),IF(N60="Extensión de Vida Util",$L$14+$M$14*POWER(O60*P60,1/2),0)))*x!$C$10,0)</f>
        <v>0</v>
      </c>
    </row>
    <row r="61" spans="2:17" ht="13.5" customHeight="1" x14ac:dyDescent="0.2">
      <c r="B61" s="293"/>
      <c r="C61" s="294"/>
      <c r="D61" s="294"/>
      <c r="E61" s="294"/>
      <c r="F61" s="301"/>
      <c r="G61" s="1">
        <v>44</v>
      </c>
      <c r="H61" s="134">
        <f t="shared" si="0"/>
        <v>0</v>
      </c>
      <c r="I61" s="249"/>
      <c r="J61" s="247"/>
      <c r="K61" s="248"/>
      <c r="L61" s="132">
        <f>IF(J61*K61&gt;0,IF(I61="Habilitación",$J$12+$K$12*POWER(J61*K61,1/3),IF(I61="Inspección Periódica",$J$13+$K$13*POWER(J61*K61,1/3),IF(I61="Extensión de Vida Util",$J$14+$K$14*POWER(J61*K61,1/3),0)))*x!$C$10,0)</f>
        <v>0</v>
      </c>
      <c r="M61" s="133">
        <f t="shared" si="1"/>
        <v>0</v>
      </c>
      <c r="N61" s="249"/>
      <c r="O61" s="247"/>
      <c r="P61" s="248"/>
      <c r="Q61" s="132">
        <f>IF(O61*P61&gt;0,IF(N61="Habilitación",$L$12+$M$12*POWER(O61*P61,1/2),IF(N61="Inspección Periódica",$L$13+$M$13*POWER(O61*P61,1/2),IF(N61="Extensión de Vida Util",$L$14+$M$14*POWER(O61*P61,1/2),0)))*x!$C$10,0)</f>
        <v>0</v>
      </c>
    </row>
    <row r="62" spans="2:17" ht="13.5" customHeight="1" x14ac:dyDescent="0.2">
      <c r="B62" s="293"/>
      <c r="C62" s="294"/>
      <c r="D62" s="294"/>
      <c r="E62" s="294"/>
      <c r="F62" s="301"/>
      <c r="G62" s="1">
        <v>45</v>
      </c>
      <c r="H62" s="131">
        <f t="shared" si="0"/>
        <v>0</v>
      </c>
      <c r="I62" s="249"/>
      <c r="J62" s="247"/>
      <c r="K62" s="248"/>
      <c r="L62" s="132">
        <f>IF(J62*K62&gt;0,IF(I62="Habilitación",$J$12+$K$12*POWER(J62*K62,1/3),IF(I62="Inspección Periódica",$J$13+$K$13*POWER(J62*K62,1/3),IF(I62="Extensión de Vida Util",$J$14+$K$14*POWER(J62*K62,1/3),0)))*x!$C$10,0)</f>
        <v>0</v>
      </c>
      <c r="M62" s="133">
        <f t="shared" si="1"/>
        <v>0</v>
      </c>
      <c r="N62" s="249"/>
      <c r="O62" s="247"/>
      <c r="P62" s="248"/>
      <c r="Q62" s="132">
        <f>IF(O62*P62&gt;0,IF(N62="Habilitación",$L$12+$M$12*POWER(O62*P62,1/2),IF(N62="Inspección Periódica",$L$13+$M$13*POWER(O62*P62,1/2),IF(N62="Extensión de Vida Util",$L$14+$M$14*POWER(O62*P62,1/2),0)))*x!$C$10,0)</f>
        <v>0</v>
      </c>
    </row>
    <row r="63" spans="2:17" ht="13.5" customHeight="1" x14ac:dyDescent="0.2">
      <c r="B63" s="293"/>
      <c r="C63" s="294"/>
      <c r="D63" s="294"/>
      <c r="E63" s="294"/>
      <c r="F63" s="301"/>
      <c r="G63" s="1">
        <v>46</v>
      </c>
      <c r="H63" s="134">
        <f t="shared" si="0"/>
        <v>0</v>
      </c>
      <c r="I63" s="249"/>
      <c r="J63" s="247"/>
      <c r="K63" s="248"/>
      <c r="L63" s="132">
        <f>IF(J63*K63&gt;0,IF(I63="Habilitación",$J$12+$K$12*POWER(J63*K63,1/3),IF(I63="Inspección Periódica",$J$13+$K$13*POWER(J63*K63,1/3),IF(I63="Extensión de Vida Util",$J$14+$K$14*POWER(J63*K63,1/3),0)))*x!$C$10,0)</f>
        <v>0</v>
      </c>
      <c r="M63" s="133">
        <f t="shared" si="1"/>
        <v>0</v>
      </c>
      <c r="N63" s="249"/>
      <c r="O63" s="247"/>
      <c r="P63" s="248"/>
      <c r="Q63" s="132">
        <f>IF(O63*P63&gt;0,IF(N63="Habilitación",$L$12+$M$12*POWER(O63*P63,1/2),IF(N63="Inspección Periódica",$L$13+$M$13*POWER(O63*P63,1/2),IF(N63="Extensión de Vida Util",$L$14+$M$14*POWER(O63*P63,1/2),0)))*x!$C$10,0)</f>
        <v>0</v>
      </c>
    </row>
    <row r="64" spans="2:17" ht="13.5" customHeight="1" x14ac:dyDescent="0.2">
      <c r="B64" s="293"/>
      <c r="C64" s="294"/>
      <c r="D64" s="294"/>
      <c r="E64" s="294"/>
      <c r="F64" s="301"/>
      <c r="G64" s="1">
        <v>47</v>
      </c>
      <c r="H64" s="131">
        <f t="shared" si="0"/>
        <v>0</v>
      </c>
      <c r="I64" s="249"/>
      <c r="J64" s="247"/>
      <c r="K64" s="248"/>
      <c r="L64" s="132">
        <f>IF(J64*K64&gt;0,IF(I64="Habilitación",$J$12+$K$12*POWER(J64*K64,1/3),IF(I64="Inspección Periódica",$J$13+$K$13*POWER(J64*K64,1/3),IF(I64="Extensión de Vida Util",$J$14+$K$14*POWER(J64*K64,1/3),0)))*x!$C$10,0)</f>
        <v>0</v>
      </c>
      <c r="M64" s="133">
        <f t="shared" si="1"/>
        <v>0</v>
      </c>
      <c r="N64" s="249"/>
      <c r="O64" s="247"/>
      <c r="P64" s="248"/>
      <c r="Q64" s="132">
        <f>IF(O64*P64&gt;0,IF(N64="Habilitación",$L$12+$M$12*POWER(O64*P64,1/2),IF(N64="Inspección Periódica",$L$13+$M$13*POWER(O64*P64,1/2),IF(N64="Extensión de Vida Util",$L$14+$M$14*POWER(O64*P64,1/2),0)))*x!$C$10,0)</f>
        <v>0</v>
      </c>
    </row>
    <row r="65" spans="2:17" ht="13.5" customHeight="1" x14ac:dyDescent="0.2">
      <c r="B65" s="293"/>
      <c r="C65" s="294"/>
      <c r="D65" s="294"/>
      <c r="E65" s="294"/>
      <c r="F65" s="301"/>
      <c r="G65" s="1">
        <v>48</v>
      </c>
      <c r="H65" s="134">
        <f t="shared" si="0"/>
        <v>0</v>
      </c>
      <c r="I65" s="249"/>
      <c r="J65" s="247"/>
      <c r="K65" s="248"/>
      <c r="L65" s="132">
        <f>IF(J65*K65&gt;0,IF(I65="Habilitación",$J$12+$K$12*POWER(J65*K65,1/3),IF(I65="Inspección Periódica",$J$13+$K$13*POWER(J65*K65,1/3),IF(I65="Extensión de Vida Util",$J$14+$K$14*POWER(J65*K65,1/3),0)))*x!$C$10,0)</f>
        <v>0</v>
      </c>
      <c r="M65" s="133">
        <f t="shared" si="1"/>
        <v>0</v>
      </c>
      <c r="N65" s="249"/>
      <c r="O65" s="247"/>
      <c r="P65" s="248"/>
      <c r="Q65" s="132">
        <f>IF(O65*P65&gt;0,IF(N65="Habilitación",$L$12+$M$12*POWER(O65*P65,1/2),IF(N65="Inspección Periódica",$L$13+$M$13*POWER(O65*P65,1/2),IF(N65="Extensión de Vida Util",$L$14+$M$14*POWER(O65*P65,1/2),0)))*x!$C$10,0)</f>
        <v>0</v>
      </c>
    </row>
    <row r="66" spans="2:17" ht="13.5" customHeight="1" x14ac:dyDescent="0.2">
      <c r="B66" s="293"/>
      <c r="C66" s="294"/>
      <c r="D66" s="294"/>
      <c r="E66" s="294"/>
      <c r="F66" s="301"/>
      <c r="G66" s="1">
        <v>49</v>
      </c>
      <c r="H66" s="131">
        <f t="shared" si="0"/>
        <v>0</v>
      </c>
      <c r="I66" s="249"/>
      <c r="J66" s="247"/>
      <c r="K66" s="248"/>
      <c r="L66" s="132">
        <f>IF(J66*K66&gt;0,IF(I66="Habilitación",$J$12+$K$12*POWER(J66*K66,1/3),IF(I66="Inspección Periódica",$J$13+$K$13*POWER(J66*K66,1/3),IF(I66="Extensión de Vida Util",$J$14+$K$14*POWER(J66*K66,1/3),0)))*x!$C$10,0)</f>
        <v>0</v>
      </c>
      <c r="M66" s="133">
        <f t="shared" si="1"/>
        <v>0</v>
      </c>
      <c r="N66" s="249"/>
      <c r="O66" s="247"/>
      <c r="P66" s="248"/>
      <c r="Q66" s="132">
        <f>IF(O66*P66&gt;0,IF(N66="Habilitación",$L$12+$M$12*POWER(O66*P66,1/2),IF(N66="Inspección Periódica",$L$13+$M$13*POWER(O66*P66,1/2),IF(N66="Extensión de Vida Util",$L$14+$M$14*POWER(O66*P66,1/2),0)))*x!$C$10,0)</f>
        <v>0</v>
      </c>
    </row>
    <row r="67" spans="2:17" ht="13.5" customHeight="1" x14ac:dyDescent="0.2">
      <c r="B67" s="293"/>
      <c r="C67" s="294"/>
      <c r="D67" s="294"/>
      <c r="E67" s="294"/>
      <c r="F67" s="301"/>
      <c r="G67" s="1">
        <v>50</v>
      </c>
      <c r="H67" s="134">
        <f t="shared" si="0"/>
        <v>0</v>
      </c>
      <c r="I67" s="249"/>
      <c r="J67" s="247"/>
      <c r="K67" s="248"/>
      <c r="L67" s="132">
        <f>IF(J67*K67&gt;0,IF(I67="Habilitación",$J$12+$K$12*POWER(J67*K67,1/3),IF(I67="Inspección Periódica",$J$13+$K$13*POWER(J67*K67,1/3),IF(I67="Extensión de Vida Util",$J$14+$K$14*POWER(J67*K67,1/3),0)))*x!$C$10,0)</f>
        <v>0</v>
      </c>
      <c r="M67" s="133">
        <f t="shared" si="1"/>
        <v>0</v>
      </c>
      <c r="N67" s="249"/>
      <c r="O67" s="247"/>
      <c r="P67" s="248"/>
      <c r="Q67" s="132">
        <f>IF(O67*P67&gt;0,IF(N67="Habilitación",$L$12+$M$12*POWER(O67*P67,1/2),IF(N67="Inspección Periódica",$L$13+$M$13*POWER(O67*P67,1/2),IF(N67="Extensión de Vida Util",$L$14+$M$14*POWER(O67*P67,1/2),0)))*x!$C$10,0)</f>
        <v>0</v>
      </c>
    </row>
    <row r="68" spans="2:17" ht="13.5" customHeight="1" x14ac:dyDescent="0.2">
      <c r="B68" s="293"/>
      <c r="C68" s="294"/>
      <c r="D68" s="294"/>
      <c r="E68" s="294"/>
      <c r="F68" s="301"/>
      <c r="G68" s="1">
        <v>51</v>
      </c>
      <c r="H68" s="131">
        <f t="shared" si="0"/>
        <v>0</v>
      </c>
      <c r="I68" s="249"/>
      <c r="J68" s="247"/>
      <c r="K68" s="248"/>
      <c r="L68" s="132">
        <f>IF(J68*K68&gt;0,IF(I68="Habilitación",$J$12+$K$12*POWER(J68*K68,1/3),IF(I68="Inspección Periódica",$J$13+$K$13*POWER(J68*K68,1/3),IF(I68="Extensión de Vida Util",$J$14+$K$14*POWER(J68*K68,1/3),0)))*x!$C$10,0)</f>
        <v>0</v>
      </c>
      <c r="M68" s="133">
        <f t="shared" si="1"/>
        <v>0</v>
      </c>
      <c r="N68" s="249"/>
      <c r="O68" s="247"/>
      <c r="P68" s="248"/>
      <c r="Q68" s="132">
        <f>IF(O68*P68&gt;0,IF(N68="Habilitación",$L$12+$M$12*POWER(O68*P68,1/2),IF(N68="Inspección Periódica",$L$13+$M$13*POWER(O68*P68,1/2),IF(N68="Extensión de Vida Util",$L$14+$M$14*POWER(O68*P68,1/2),0)))*x!$C$10,0)</f>
        <v>0</v>
      </c>
    </row>
    <row r="69" spans="2:17" ht="13.5" customHeight="1" x14ac:dyDescent="0.2">
      <c r="B69" s="293"/>
      <c r="C69" s="294"/>
      <c r="D69" s="294"/>
      <c r="E69" s="294"/>
      <c r="F69" s="301"/>
      <c r="G69" s="1">
        <v>52</v>
      </c>
      <c r="H69" s="134">
        <f t="shared" si="0"/>
        <v>0</v>
      </c>
      <c r="I69" s="249"/>
      <c r="J69" s="247"/>
      <c r="K69" s="248"/>
      <c r="L69" s="132">
        <f>IF(J69*K69&gt;0,IF(I69="Habilitación",$J$12+$K$12*POWER(J69*K69,1/3),IF(I69="Inspección Periódica",$J$13+$K$13*POWER(J69*K69,1/3),IF(I69="Extensión de Vida Util",$J$14+$K$14*POWER(J69*K69,1/3),0)))*x!$C$10,0)</f>
        <v>0</v>
      </c>
      <c r="M69" s="133">
        <f t="shared" si="1"/>
        <v>0</v>
      </c>
      <c r="N69" s="249"/>
      <c r="O69" s="247"/>
      <c r="P69" s="248"/>
      <c r="Q69" s="132">
        <f>IF(O69*P69&gt;0,IF(N69="Habilitación",$L$12+$M$12*POWER(O69*P69,1/2),IF(N69="Inspección Periódica",$L$13+$M$13*POWER(O69*P69,1/2),IF(N69="Extensión de Vida Util",$L$14+$M$14*POWER(O69*P69,1/2),0)))*x!$C$10,0)</f>
        <v>0</v>
      </c>
    </row>
    <row r="70" spans="2:17" ht="13.5" customHeight="1" x14ac:dyDescent="0.2">
      <c r="B70" s="293"/>
      <c r="C70" s="294"/>
      <c r="D70" s="294"/>
      <c r="E70" s="294"/>
      <c r="F70" s="301"/>
      <c r="G70" s="1">
        <v>53</v>
      </c>
      <c r="H70" s="131">
        <f t="shared" si="0"/>
        <v>0</v>
      </c>
      <c r="I70" s="249"/>
      <c r="J70" s="247"/>
      <c r="K70" s="248"/>
      <c r="L70" s="132">
        <f>IF(J70*K70&gt;0,IF(I70="Habilitación",$J$12+$K$12*POWER(J70*K70,1/3),IF(I70="Inspección Periódica",$J$13+$K$13*POWER(J70*K70,1/3),IF(I70="Extensión de Vida Util",$J$14+$K$14*POWER(J70*K70,1/3),0)))*x!$C$10,0)</f>
        <v>0</v>
      </c>
      <c r="M70" s="133">
        <f t="shared" si="1"/>
        <v>0</v>
      </c>
      <c r="N70" s="249"/>
      <c r="O70" s="247"/>
      <c r="P70" s="248"/>
      <c r="Q70" s="132">
        <f>IF(O70*P70&gt;0,IF(N70="Habilitación",$L$12+$M$12*POWER(O70*P70,1/2),IF(N70="Inspección Periódica",$L$13+$M$13*POWER(O70*P70,1/2),IF(N70="Extensión de Vida Util",$L$14+$M$14*POWER(O70*P70,1/2),0)))*x!$C$10,0)</f>
        <v>0</v>
      </c>
    </row>
    <row r="71" spans="2:17" ht="13.5" customHeight="1" x14ac:dyDescent="0.2">
      <c r="B71" s="293"/>
      <c r="C71" s="294"/>
      <c r="D71" s="294"/>
      <c r="E71" s="294"/>
      <c r="F71" s="301"/>
      <c r="G71" s="1">
        <v>54</v>
      </c>
      <c r="H71" s="134">
        <f t="shared" si="0"/>
        <v>0</v>
      </c>
      <c r="I71" s="249"/>
      <c r="J71" s="247"/>
      <c r="K71" s="248"/>
      <c r="L71" s="132">
        <f>IF(J71*K71&gt;0,IF(I71="Habilitación",$J$12+$K$12*POWER(J71*K71,1/3),IF(I71="Inspección Periódica",$J$13+$K$13*POWER(J71*K71,1/3),IF(I71="Extensión de Vida Util",$J$14+$K$14*POWER(J71*K71,1/3),0)))*x!$C$10,0)</f>
        <v>0</v>
      </c>
      <c r="M71" s="133">
        <f t="shared" si="1"/>
        <v>0</v>
      </c>
      <c r="N71" s="249"/>
      <c r="O71" s="247"/>
      <c r="P71" s="248"/>
      <c r="Q71" s="132">
        <f>IF(O71*P71&gt;0,IF(N71="Habilitación",$L$12+$M$12*POWER(O71*P71,1/2),IF(N71="Inspección Periódica",$L$13+$M$13*POWER(O71*P71,1/2),IF(N71="Extensión de Vida Util",$L$14+$M$14*POWER(O71*P71,1/2),0)))*x!$C$10,0)</f>
        <v>0</v>
      </c>
    </row>
    <row r="72" spans="2:17" ht="13.5" customHeight="1" x14ac:dyDescent="0.2">
      <c r="B72" s="293"/>
      <c r="C72" s="294"/>
      <c r="D72" s="294"/>
      <c r="E72" s="294"/>
      <c r="F72" s="301"/>
      <c r="G72" s="1">
        <v>55</v>
      </c>
      <c r="H72" s="131">
        <f t="shared" si="0"/>
        <v>0</v>
      </c>
      <c r="I72" s="249"/>
      <c r="J72" s="247"/>
      <c r="K72" s="248"/>
      <c r="L72" s="132">
        <f>IF(J72*K72&gt;0,IF(I72="Habilitación",$J$12+$K$12*POWER(J72*K72,1/3),IF(I72="Inspección Periódica",$J$13+$K$13*POWER(J72*K72,1/3),IF(I72="Extensión de Vida Util",$J$14+$K$14*POWER(J72*K72,1/3),0)))*x!$C$10,0)</f>
        <v>0</v>
      </c>
      <c r="M72" s="133">
        <f t="shared" si="1"/>
        <v>0</v>
      </c>
      <c r="N72" s="249"/>
      <c r="O72" s="247"/>
      <c r="P72" s="248"/>
      <c r="Q72" s="132">
        <f>IF(O72*P72&gt;0,IF(N72="Habilitación",$L$12+$M$12*POWER(O72*P72,1/2),IF(N72="Inspección Periódica",$L$13+$M$13*POWER(O72*P72,1/2),IF(N72="Extensión de Vida Util",$L$14+$M$14*POWER(O72*P72,1/2),0)))*x!$C$10,0)</f>
        <v>0</v>
      </c>
    </row>
    <row r="73" spans="2:17" ht="13.5" customHeight="1" x14ac:dyDescent="0.2">
      <c r="B73" s="293"/>
      <c r="C73" s="294"/>
      <c r="D73" s="294"/>
      <c r="E73" s="294"/>
      <c r="F73" s="301"/>
      <c r="G73" s="1">
        <v>56</v>
      </c>
      <c r="H73" s="134">
        <f t="shared" si="0"/>
        <v>0</v>
      </c>
      <c r="I73" s="249"/>
      <c r="J73" s="247"/>
      <c r="K73" s="248"/>
      <c r="L73" s="132">
        <f>IF(J73*K73&gt;0,IF(I73="Habilitación",$J$12+$K$12*POWER(J73*K73,1/3),IF(I73="Inspección Periódica",$J$13+$K$13*POWER(J73*K73,1/3),IF(I73="Extensión de Vida Util",$J$14+$K$14*POWER(J73*K73,1/3),0)))*x!$C$10,0)</f>
        <v>0</v>
      </c>
      <c r="M73" s="133">
        <f t="shared" si="1"/>
        <v>0</v>
      </c>
      <c r="N73" s="249"/>
      <c r="O73" s="247"/>
      <c r="P73" s="248"/>
      <c r="Q73" s="132">
        <f>IF(O73*P73&gt;0,IF(N73="Habilitación",$L$12+$M$12*POWER(O73*P73,1/2),IF(N73="Inspección Periódica",$L$13+$M$13*POWER(O73*P73,1/2),IF(N73="Extensión de Vida Util",$L$14+$M$14*POWER(O73*P73,1/2),0)))*x!$C$10,0)</f>
        <v>0</v>
      </c>
    </row>
    <row r="74" spans="2:17" ht="13.5" customHeight="1" x14ac:dyDescent="0.2">
      <c r="B74" s="293"/>
      <c r="C74" s="294"/>
      <c r="D74" s="294"/>
      <c r="E74" s="294"/>
      <c r="F74" s="301"/>
      <c r="G74" s="1">
        <v>57</v>
      </c>
      <c r="H74" s="131">
        <f t="shared" si="0"/>
        <v>0</v>
      </c>
      <c r="I74" s="249"/>
      <c r="J74" s="247"/>
      <c r="K74" s="248"/>
      <c r="L74" s="132">
        <f>IF(J74*K74&gt;0,IF(I74="Habilitación",$J$12+$K$12*POWER(J74*K74,1/3),IF(I74="Inspección Periódica",$J$13+$K$13*POWER(J74*K74,1/3),IF(I74="Extensión de Vida Util",$J$14+$K$14*POWER(J74*K74,1/3),0)))*x!$C$10,0)</f>
        <v>0</v>
      </c>
      <c r="M74" s="133">
        <f t="shared" si="1"/>
        <v>0</v>
      </c>
      <c r="N74" s="249"/>
      <c r="O74" s="247"/>
      <c r="P74" s="248"/>
      <c r="Q74" s="132">
        <f>IF(O74*P74&gt;0,IF(N74="Habilitación",$L$12+$M$12*POWER(O74*P74,1/2),IF(N74="Inspección Periódica",$L$13+$M$13*POWER(O74*P74,1/2),IF(N74="Extensión de Vida Util",$L$14+$M$14*POWER(O74*P74,1/2),0)))*x!$C$10,0)</f>
        <v>0</v>
      </c>
    </row>
    <row r="75" spans="2:17" ht="13.5" customHeight="1" x14ac:dyDescent="0.2">
      <c r="B75" s="293"/>
      <c r="C75" s="294"/>
      <c r="D75" s="294"/>
      <c r="E75" s="294"/>
      <c r="F75" s="301"/>
      <c r="G75" s="1">
        <v>58</v>
      </c>
      <c r="H75" s="134">
        <f t="shared" si="0"/>
        <v>0</v>
      </c>
      <c r="I75" s="249"/>
      <c r="J75" s="247"/>
      <c r="K75" s="248"/>
      <c r="L75" s="132">
        <f>IF(J75*K75&gt;0,IF(I75="Habilitación",$J$12+$K$12*POWER(J75*K75,1/3),IF(I75="Inspección Periódica",$J$13+$K$13*POWER(J75*K75,1/3),IF(I75="Extensión de Vida Util",$J$14+$K$14*POWER(J75*K75,1/3),0)))*x!$C$10,0)</f>
        <v>0</v>
      </c>
      <c r="M75" s="133">
        <f t="shared" si="1"/>
        <v>0</v>
      </c>
      <c r="N75" s="249"/>
      <c r="O75" s="247"/>
      <c r="P75" s="248"/>
      <c r="Q75" s="132">
        <f>IF(O75*P75&gt;0,IF(N75="Habilitación",$L$12+$M$12*POWER(O75*P75,1/2),IF(N75="Inspección Periódica",$L$13+$M$13*POWER(O75*P75,1/2),IF(N75="Extensión de Vida Util",$L$14+$M$14*POWER(O75*P75,1/2),0)))*x!$C$10,0)</f>
        <v>0</v>
      </c>
    </row>
    <row r="76" spans="2:17" ht="13.5" customHeight="1" x14ac:dyDescent="0.2">
      <c r="B76" s="293"/>
      <c r="C76" s="294"/>
      <c r="D76" s="294"/>
      <c r="E76" s="294"/>
      <c r="F76" s="301"/>
      <c r="G76" s="1">
        <v>59</v>
      </c>
      <c r="H76" s="131">
        <f t="shared" si="0"/>
        <v>0</v>
      </c>
      <c r="I76" s="249"/>
      <c r="J76" s="247"/>
      <c r="K76" s="248"/>
      <c r="L76" s="132">
        <f>IF(J76*K76&gt;0,IF(I76="Habilitación",$J$12+$K$12*POWER(J76*K76,1/3),IF(I76="Inspección Periódica",$J$13+$K$13*POWER(J76*K76,1/3),IF(I76="Extensión de Vida Util",$J$14+$K$14*POWER(J76*K76,1/3),0)))*x!$C$10,0)</f>
        <v>0</v>
      </c>
      <c r="M76" s="133">
        <f t="shared" si="1"/>
        <v>0</v>
      </c>
      <c r="N76" s="249"/>
      <c r="O76" s="247"/>
      <c r="P76" s="248"/>
      <c r="Q76" s="132">
        <f>IF(O76*P76&gt;0,IF(N76="Habilitación",$L$12+$M$12*POWER(O76*P76,1/2),IF(N76="Inspección Periódica",$L$13+$M$13*POWER(O76*P76,1/2),IF(N76="Extensión de Vida Util",$L$14+$M$14*POWER(O76*P76,1/2),0)))*x!$C$10,0)</f>
        <v>0</v>
      </c>
    </row>
    <row r="77" spans="2:17" ht="13.5" customHeight="1" x14ac:dyDescent="0.2">
      <c r="B77" s="293"/>
      <c r="C77" s="294"/>
      <c r="D77" s="294"/>
      <c r="E77" s="294"/>
      <c r="F77" s="137"/>
      <c r="G77" s="1">
        <v>80</v>
      </c>
      <c r="H77" s="136">
        <f t="shared" si="0"/>
        <v>0</v>
      </c>
      <c r="I77" s="250"/>
      <c r="J77" s="251"/>
      <c r="K77" s="251"/>
      <c r="L77" s="138">
        <f>IF(J77*K77&gt;0,IF(I77="Habilitación",$J$12+$K$12*POWER(J77*K77,1/3),IF(I77="Inspección Periódica",$J$13+$K$13*POWER(J77*K77,1/3),IF(I77="Extensión de Vida Util",$J$14+$K$14*POWER(J77*K77,1/3),0)))*x!$C$10,0)</f>
        <v>0</v>
      </c>
      <c r="M77" s="139">
        <f t="shared" si="1"/>
        <v>0</v>
      </c>
      <c r="N77" s="250"/>
      <c r="O77" s="251"/>
      <c r="P77" s="251"/>
      <c r="Q77" s="138">
        <f>IF(O77*P77&gt;0,IF(N77="Habilitación",$L$12+$M$12*POWER(O77*P77,1/2),IF(N77="Inspección Periódica",$L$13+$M$13*POWER(O77*P77,1/2),IF(N77="Extensión de Vida Util",$L$14+$M$14*POWER(O77*P77,1/2),0)))*x!$C$10,0)</f>
        <v>0</v>
      </c>
    </row>
    <row r="78" spans="2:17" ht="13.5" customHeight="1" x14ac:dyDescent="0.2">
      <c r="B78" s="293"/>
      <c r="C78" s="294"/>
      <c r="D78" s="294"/>
      <c r="E78" s="294"/>
    </row>
    <row r="79" spans="2:17" ht="13.5" customHeight="1" x14ac:dyDescent="0.2">
      <c r="B79" s="293"/>
      <c r="C79" s="294"/>
      <c r="D79" s="294"/>
      <c r="E79" s="294"/>
      <c r="G79" s="119"/>
      <c r="J79" s="119"/>
      <c r="K79" s="120" t="s">
        <v>331</v>
      </c>
      <c r="L79" s="140">
        <f>SUM(L18:L77)</f>
        <v>0</v>
      </c>
      <c r="M79" s="119"/>
      <c r="O79" s="119"/>
      <c r="P79" s="120" t="s">
        <v>331</v>
      </c>
      <c r="Q79" s="140">
        <f>SUM(Q18:Q77)</f>
        <v>0</v>
      </c>
    </row>
    <row r="80" spans="2:17" ht="13.5" customHeight="1" x14ac:dyDescent="0.2">
      <c r="B80" s="293"/>
      <c r="C80" s="294"/>
      <c r="D80" s="294"/>
      <c r="E80" s="294"/>
      <c r="G80" s="119"/>
      <c r="H80" s="119"/>
      <c r="I80" s="141"/>
      <c r="J80" s="119"/>
      <c r="K80" s="119"/>
      <c r="L80" s="119"/>
      <c r="M80" s="119"/>
    </row>
    <row r="81" spans="2:19" ht="13.5" customHeight="1" x14ac:dyDescent="0.2">
      <c r="B81" s="293"/>
      <c r="C81" s="294"/>
      <c r="D81" s="294"/>
      <c r="E81" s="294"/>
      <c r="G81" s="119"/>
      <c r="H81" s="119"/>
      <c r="I81" s="141"/>
      <c r="J81" s="302" t="s">
        <v>332</v>
      </c>
      <c r="K81" s="302"/>
      <c r="L81" s="142">
        <f>+SUM(H18:H77)+SUM(M18:M77)</f>
        <v>0</v>
      </c>
      <c r="M81" s="119"/>
    </row>
    <row r="82" spans="2:19" ht="13.5" customHeight="1" x14ac:dyDescent="0.2">
      <c r="B82" s="293"/>
      <c r="C82" s="294"/>
      <c r="D82" s="294"/>
      <c r="E82" s="294"/>
      <c r="G82" s="119"/>
      <c r="H82" s="119"/>
      <c r="I82" s="141"/>
      <c r="J82" s="119"/>
      <c r="K82" s="119"/>
      <c r="L82" s="119"/>
      <c r="M82" s="119"/>
    </row>
    <row r="83" spans="2:19" ht="13.5" customHeight="1" x14ac:dyDescent="0.2">
      <c r="B83" s="293"/>
      <c r="C83" s="294"/>
      <c r="D83" s="294"/>
      <c r="E83" s="294"/>
      <c r="G83" s="119"/>
      <c r="H83" s="119"/>
      <c r="J83" s="287" t="s">
        <v>333</v>
      </c>
      <c r="K83" s="287"/>
      <c r="L83" s="297">
        <f>IF(L81&lt;3,1,IF(L81&gt;=3,1.12*(POWER(L81,-1/8))))</f>
        <v>1</v>
      </c>
      <c r="M83" s="119"/>
    </row>
    <row r="84" spans="2:19" ht="13.5" customHeight="1" x14ac:dyDescent="0.2">
      <c r="B84" s="293"/>
      <c r="C84" s="294"/>
      <c r="D84" s="294"/>
      <c r="E84" s="294"/>
      <c r="G84" s="119"/>
      <c r="H84" s="119"/>
      <c r="I84" s="143"/>
      <c r="J84" s="287"/>
      <c r="K84" s="287"/>
      <c r="L84" s="297"/>
      <c r="M84" s="119"/>
    </row>
    <row r="85" spans="2:19" ht="13.5" customHeight="1" x14ac:dyDescent="0.2">
      <c r="B85" s="293"/>
      <c r="C85" s="294"/>
      <c r="D85" s="294"/>
      <c r="E85" s="294"/>
      <c r="G85" s="119"/>
      <c r="H85" s="119"/>
      <c r="I85" s="143"/>
      <c r="J85" s="144"/>
      <c r="K85" s="144"/>
      <c r="L85" s="144"/>
      <c r="M85" s="119"/>
    </row>
    <row r="86" spans="2:19" ht="17.25" customHeight="1" x14ac:dyDescent="0.2">
      <c r="B86" s="293"/>
      <c r="C86" s="294"/>
      <c r="D86" s="294"/>
      <c r="E86" s="294"/>
      <c r="G86" s="119"/>
      <c r="J86" s="298" t="s">
        <v>334</v>
      </c>
      <c r="K86" s="298"/>
      <c r="L86" s="298"/>
      <c r="M86" s="298"/>
      <c r="N86" s="219">
        <f>IF(L81&gt;0,IF(+L79*L83+Q79*L83&lt;x!C22,x!C22,+L79*L83+Q79*L83),0)</f>
        <v>0</v>
      </c>
    </row>
    <row r="87" spans="2:19" ht="13.5" customHeight="1" x14ac:dyDescent="0.2">
      <c r="B87" s="293"/>
      <c r="C87" s="294"/>
      <c r="D87" s="294"/>
      <c r="E87" s="294"/>
      <c r="G87" s="119"/>
      <c r="H87" s="119"/>
      <c r="I87" s="119"/>
      <c r="J87" s="119"/>
      <c r="K87" s="119"/>
      <c r="L87" s="119"/>
      <c r="M87" s="119"/>
      <c r="P87" s="299"/>
      <c r="Q87" s="300"/>
    </row>
    <row r="88" spans="2:19" ht="20.25" customHeight="1" x14ac:dyDescent="0.2">
      <c r="B88" s="293"/>
      <c r="C88" s="294"/>
      <c r="D88" s="294"/>
      <c r="E88" s="294"/>
      <c r="G88" s="119"/>
      <c r="H88" s="119"/>
      <c r="I88" s="119"/>
      <c r="J88" s="288" t="s">
        <v>335</v>
      </c>
      <c r="K88" s="288"/>
      <c r="L88" s="288"/>
      <c r="M88" s="288"/>
      <c r="N88" s="256">
        <f>ROUNDUP(N86,0)</f>
        <v>0</v>
      </c>
      <c r="P88" s="300"/>
      <c r="Q88" s="300"/>
    </row>
    <row r="89" spans="2:19" ht="15" customHeight="1" x14ac:dyDescent="0.2">
      <c r="B89" s="145"/>
      <c r="C89" s="145"/>
      <c r="D89" s="145"/>
      <c r="E89" s="122"/>
      <c r="J89" s="289" t="s">
        <v>336</v>
      </c>
      <c r="K89" s="289"/>
      <c r="L89" s="289"/>
      <c r="M89" s="289"/>
      <c r="N89" s="289"/>
      <c r="P89" s="300"/>
      <c r="Q89" s="300"/>
    </row>
    <row r="90" spans="2:19" ht="13.5" customHeight="1" x14ac:dyDescent="0.2">
      <c r="B90" s="145"/>
      <c r="C90" s="145"/>
      <c r="D90" s="145"/>
      <c r="E90" s="122"/>
      <c r="J90" s="289"/>
      <c r="K90" s="289"/>
      <c r="L90" s="289"/>
      <c r="M90" s="289"/>
      <c r="N90" s="289"/>
      <c r="P90" s="300"/>
      <c r="Q90" s="300"/>
    </row>
    <row r="91" spans="2:19" ht="13.5" customHeight="1" x14ac:dyDescent="0.2">
      <c r="B91" s="145"/>
      <c r="C91" s="145"/>
      <c r="D91" s="145"/>
      <c r="E91" s="122"/>
      <c r="P91" s="300"/>
      <c r="Q91" s="300"/>
      <c r="S91" s="146" t="s">
        <v>337</v>
      </c>
    </row>
    <row r="92" spans="2:19" ht="13.5" customHeight="1" x14ac:dyDescent="0.2">
      <c r="B92" s="145"/>
      <c r="C92" s="145"/>
      <c r="D92" s="145"/>
      <c r="E92" s="122"/>
      <c r="J92" s="290" t="str">
        <f>IF(N88&lt;N86,S91,"")</f>
        <v/>
      </c>
      <c r="K92" s="290"/>
      <c r="L92" s="290"/>
      <c r="M92" s="290"/>
      <c r="N92" s="290"/>
      <c r="P92" s="300"/>
      <c r="Q92" s="300"/>
    </row>
    <row r="93" spans="2:19" ht="13.5" customHeight="1" x14ac:dyDescent="0.2">
      <c r="B93" s="145"/>
      <c r="C93" s="145"/>
      <c r="D93" s="145"/>
      <c r="E93" s="122"/>
      <c r="J93" s="290"/>
      <c r="K93" s="290"/>
      <c r="L93" s="290"/>
      <c r="M93" s="290"/>
      <c r="N93" s="290"/>
      <c r="P93" s="291" t="s">
        <v>338</v>
      </c>
      <c r="Q93" s="291"/>
    </row>
  </sheetData>
  <mergeCells count="29">
    <mergeCell ref="J11:K11"/>
    <mergeCell ref="L11:M11"/>
    <mergeCell ref="O2:P2"/>
    <mergeCell ref="O3:P3"/>
    <mergeCell ref="O4:P4"/>
    <mergeCell ref="I9:Q9"/>
    <mergeCell ref="O5:P5"/>
    <mergeCell ref="O6:P6"/>
    <mergeCell ref="X15:Y15"/>
    <mergeCell ref="S21:U21"/>
    <mergeCell ref="B15:B88"/>
    <mergeCell ref="C15:C88"/>
    <mergeCell ref="D15:D88"/>
    <mergeCell ref="F15:G16"/>
    <mergeCell ref="I15:L15"/>
    <mergeCell ref="N15:Q15"/>
    <mergeCell ref="L83:L84"/>
    <mergeCell ref="J86:M86"/>
    <mergeCell ref="S15:T15"/>
    <mergeCell ref="U15:V15"/>
    <mergeCell ref="P87:Q92"/>
    <mergeCell ref="E17:E88"/>
    <mergeCell ref="F27:F76"/>
    <mergeCell ref="J81:K81"/>
    <mergeCell ref="J83:K84"/>
    <mergeCell ref="J88:M88"/>
    <mergeCell ref="J89:N90"/>
    <mergeCell ref="J92:N93"/>
    <mergeCell ref="P93:Q93"/>
  </mergeCells>
  <phoneticPr fontId="0" type="noConversion"/>
  <conditionalFormatting sqref="I18:K77 N18:P77">
    <cfRule type="cellIs" dxfId="6" priority="3" stopIfTrue="1" operator="greaterThan">
      <formula>0</formula>
    </cfRule>
  </conditionalFormatting>
  <conditionalFormatting sqref="J92">
    <cfRule type="cellIs" dxfId="5" priority="8" stopIfTrue="1" operator="equal">
      <formula>$S$91</formula>
    </cfRule>
  </conditionalFormatting>
  <conditionalFormatting sqref="N88">
    <cfRule type="cellIs" dxfId="4" priority="2" stopIfTrue="1" operator="notEqual">
      <formula>0</formula>
    </cfRule>
    <cfRule type="cellIs" dxfId="3" priority="6" stopIfTrue="1" operator="lessThan">
      <formula>$N$86</formula>
    </cfRule>
  </conditionalFormatting>
  <conditionalFormatting sqref="O2:O3 M3:M4 J4 O6:Q7">
    <cfRule type="cellIs" dxfId="2" priority="4" stopIfTrue="1" operator="greaterThan">
      <formula>0</formula>
    </cfRule>
  </conditionalFormatting>
  <conditionalFormatting sqref="O4:P5">
    <cfRule type="cellIs" dxfId="1" priority="1" stopIfTrue="1" operator="greaterThan">
      <formula>0</formula>
    </cfRule>
  </conditionalFormatting>
  <dataValidations count="1">
    <dataValidation type="list" allowBlank="1" showErrorMessage="1" sqref="I18:I77 N18:N77" xr:uid="{68565B8E-E504-4AFB-8A5D-217912154377}">
      <formula1>"Habilitación,Inspección Periódica,Extensión de Vida Util"</formula1>
      <formula2>0</formula2>
    </dataValidation>
  </dataValidations>
  <printOptions horizontalCentered="1" verticalCentered="1"/>
  <pageMargins left="0" right="0" top="0" bottom="0" header="0" footer="0"/>
  <pageSetup paperSize="9" scale="65" firstPageNumber="0" orientation="portrait" r:id="rId1"/>
  <headerFooter scaleWithDoc="0" alignWithMargins="0"/>
  <ignoredErrors>
    <ignoredError sqref="N88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65E7-11A8-4CD0-B50F-08DCBA188EA5}">
  <dimension ref="B4:J26"/>
  <sheetViews>
    <sheetView zoomScale="120" zoomScaleNormal="120" workbookViewId="0">
      <selection activeCell="D24" sqref="D24:E26"/>
    </sheetView>
  </sheetViews>
  <sheetFormatPr baseColWidth="10" defaultColWidth="11" defaultRowHeight="12.75" x14ac:dyDescent="0.2"/>
  <sheetData>
    <row r="4" spans="2:10" ht="12.75" customHeight="1" x14ac:dyDescent="0.2">
      <c r="B4" s="318" t="s">
        <v>377</v>
      </c>
      <c r="C4" s="318"/>
      <c r="D4" s="319">
        <f>IF(ASP!N88&lt;=493869,29432,IF(AND(ASP!N88&gt;=493869.01,ASP!N88&lt;=2255486),54450,((ASP!N88)*3.5%)))</f>
        <v>29432</v>
      </c>
      <c r="E4" s="319"/>
    </row>
    <row r="5" spans="2:10" ht="12.75" customHeight="1" x14ac:dyDescent="0.2">
      <c r="B5" s="318"/>
      <c r="C5" s="318"/>
      <c r="D5" s="319"/>
      <c r="E5" s="319"/>
    </row>
    <row r="6" spans="2:10" x14ac:dyDescent="0.2">
      <c r="B6" s="318"/>
      <c r="C6" s="318"/>
      <c r="D6" s="319"/>
      <c r="E6" s="319"/>
    </row>
    <row r="7" spans="2:10" x14ac:dyDescent="0.2">
      <c r="B7" s="318"/>
      <c r="C7" s="318"/>
      <c r="D7" s="319"/>
      <c r="E7" s="319"/>
    </row>
    <row r="10" spans="2:10" ht="15" x14ac:dyDescent="0.25">
      <c r="C10" s="147"/>
      <c r="D10" s="148"/>
      <c r="E10" s="148"/>
    </row>
    <row r="11" spans="2:10" ht="15.75" customHeight="1" x14ac:dyDescent="0.2">
      <c r="B11" s="320" t="s">
        <v>339</v>
      </c>
      <c r="C11" s="320"/>
      <c r="D11" s="321">
        <v>1.35E-2</v>
      </c>
      <c r="E11" s="321"/>
    </row>
    <row r="12" spans="2:10" x14ac:dyDescent="0.2">
      <c r="B12" s="320"/>
      <c r="C12" s="320"/>
      <c r="D12" s="322">
        <f>ASP!N88*1.35%</f>
        <v>0</v>
      </c>
      <c r="E12" s="322"/>
    </row>
    <row r="13" spans="2:10" x14ac:dyDescent="0.2">
      <c r="B13" s="320"/>
      <c r="C13" s="320"/>
      <c r="D13" s="322"/>
      <c r="E13" s="322"/>
    </row>
    <row r="14" spans="2:10" x14ac:dyDescent="0.2">
      <c r="B14" s="320"/>
      <c r="C14" s="320"/>
      <c r="D14" s="322"/>
      <c r="E14" s="322"/>
    </row>
    <row r="15" spans="2:10" x14ac:dyDescent="0.2">
      <c r="B15" s="320"/>
      <c r="C15" s="320"/>
      <c r="D15" s="322"/>
      <c r="E15" s="322"/>
      <c r="J15" s="242"/>
    </row>
    <row r="18" spans="2:5" ht="12.75" customHeight="1" x14ac:dyDescent="0.2">
      <c r="B18" s="318" t="s">
        <v>378</v>
      </c>
      <c r="C18" s="318"/>
      <c r="D18" s="319">
        <f>ASP!N88*0.1</f>
        <v>0</v>
      </c>
      <c r="E18" s="319"/>
    </row>
    <row r="19" spans="2:5" ht="12.75" customHeight="1" x14ac:dyDescent="0.2">
      <c r="B19" s="318"/>
      <c r="C19" s="318"/>
      <c r="D19" s="319"/>
      <c r="E19" s="319"/>
    </row>
    <row r="20" spans="2:5" x14ac:dyDescent="0.2">
      <c r="B20" s="318"/>
      <c r="C20" s="318"/>
      <c r="D20" s="319"/>
      <c r="E20" s="319"/>
    </row>
    <row r="21" spans="2:5" x14ac:dyDescent="0.2">
      <c r="B21" s="318"/>
      <c r="C21" s="318"/>
      <c r="D21" s="319"/>
      <c r="E21" s="319"/>
    </row>
    <row r="22" spans="2:5" ht="15" x14ac:dyDescent="0.2">
      <c r="E22" s="245"/>
    </row>
    <row r="23" spans="2:5" ht="13.5" thickBot="1" x14ac:dyDescent="0.25"/>
    <row r="24" spans="2:5" x14ac:dyDescent="0.2">
      <c r="B24" s="306" t="s">
        <v>379</v>
      </c>
      <c r="C24" s="307"/>
      <c r="D24" s="312">
        <f>D4+D12+D18</f>
        <v>29432</v>
      </c>
      <c r="E24" s="313"/>
    </row>
    <row r="25" spans="2:5" x14ac:dyDescent="0.2">
      <c r="B25" s="308"/>
      <c r="C25" s="309"/>
      <c r="D25" s="314"/>
      <c r="E25" s="315"/>
    </row>
    <row r="26" spans="2:5" ht="13.5" thickBot="1" x14ac:dyDescent="0.25">
      <c r="B26" s="310"/>
      <c r="C26" s="311"/>
      <c r="D26" s="316"/>
      <c r="E26" s="317"/>
    </row>
  </sheetData>
  <mergeCells count="9">
    <mergeCell ref="B24:C26"/>
    <mergeCell ref="D24:E26"/>
    <mergeCell ref="B18:C21"/>
    <mergeCell ref="D18:E21"/>
    <mergeCell ref="B4:C7"/>
    <mergeCell ref="D4:E7"/>
    <mergeCell ref="B11:C15"/>
    <mergeCell ref="D11:E11"/>
    <mergeCell ref="D12:E15"/>
  </mergeCells>
  <phoneticPr fontId="0" type="noConversion"/>
  <conditionalFormatting sqref="B18">
    <cfRule type="cellIs" dxfId="0" priority="1" stopIfTrue="1" operator="equal">
      <formula>0</formula>
    </cfRule>
  </conditionalFormatting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Tablas</vt:lpstr>
      <vt:lpstr>x</vt:lpstr>
      <vt:lpstr>$xha</vt:lpstr>
      <vt:lpstr>TABLA VI </vt:lpstr>
      <vt:lpstr>ASP</vt:lpstr>
      <vt:lpstr>TASA DE VISADO</vt:lpstr>
      <vt:lpstr>ASP!Área_de_impresión</vt:lpstr>
      <vt:lpstr>'$xha'!Excel_BuiltIn__FilterDatabase</vt:lpstr>
      <vt:lpstr>ASP!Excel_BuiltIn_Print_Area</vt:lpstr>
      <vt:lpstr>ASP!Excel_BuiltIn_Print_Titles</vt:lpstr>
      <vt:lpstr>ASP!Títulos_a_imprimir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Juan Carlos</cp:lastModifiedBy>
  <cp:lastPrinted>2025-12-10T18:49:15Z</cp:lastPrinted>
  <dcterms:created xsi:type="dcterms:W3CDTF">2024-03-22T15:44:50Z</dcterms:created>
  <dcterms:modified xsi:type="dcterms:W3CDTF">2026-01-09T13:00:35Z</dcterms:modified>
</cp:coreProperties>
</file>