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EE8519B6-9522-4DDE-9E2A-C1F80CF48ED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Sheet1" sheetId="37" r:id="rId1"/>
    <sheet name="Aparatos sometidos a presión" sheetId="13" r:id="rId2"/>
    <sheet name="COMO USAR " sheetId="38" r:id="rId3"/>
  </sheets>
  <definedNames>
    <definedName name="_xlnm._FilterDatabase" localSheetId="0" hidden="1">Sheet1!$E$12:$F$37</definedName>
    <definedName name="_xlnm.Print_Area" localSheetId="0">Sheet1!$A$1:$O$61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7" l="1"/>
  <c r="N14" i="37" s="1"/>
  <c r="Y17" i="37"/>
  <c r="Y18" i="37"/>
  <c r="Y19" i="37"/>
  <c r="Y20" i="37"/>
  <c r="Y21" i="37"/>
  <c r="Y22" i="37"/>
  <c r="Y23" i="37"/>
  <c r="Y24" i="37"/>
  <c r="Y25" i="37"/>
  <c r="Y26" i="37"/>
  <c r="Y27" i="37"/>
  <c r="Y28" i="37"/>
  <c r="Y29" i="37"/>
  <c r="Y30" i="37"/>
  <c r="Y31" i="37"/>
  <c r="Y32" i="37"/>
  <c r="Y33" i="37"/>
  <c r="Y34" i="37"/>
  <c r="Y35" i="37"/>
  <c r="Y36" i="37"/>
  <c r="Y37" i="37"/>
  <c r="Y38" i="37"/>
  <c r="Y39" i="37"/>
  <c r="Y40" i="37"/>
  <c r="Y41" i="37"/>
  <c r="Y42" i="37"/>
  <c r="Y43" i="37"/>
  <c r="Y44" i="37"/>
  <c r="Y45" i="37"/>
  <c r="Y46" i="37"/>
  <c r="Y47" i="37"/>
  <c r="Y48" i="37"/>
  <c r="Y49" i="37"/>
  <c r="Y50" i="37"/>
  <c r="Y51" i="37"/>
  <c r="Y52" i="37"/>
  <c r="Y16" i="37"/>
  <c r="V17" i="37"/>
  <c r="V18" i="37"/>
  <c r="AB18" i="37" s="1"/>
  <c r="V19" i="37"/>
  <c r="AB19" i="37" s="1"/>
  <c r="V20" i="37"/>
  <c r="AB20" i="37" s="1"/>
  <c r="V21" i="37"/>
  <c r="AB21" i="37" s="1"/>
  <c r="V22" i="37"/>
  <c r="V23" i="37"/>
  <c r="V24" i="37"/>
  <c r="V25" i="37"/>
  <c r="V26" i="37"/>
  <c r="V27" i="37"/>
  <c r="V28" i="37"/>
  <c r="V29" i="37"/>
  <c r="V30" i="37"/>
  <c r="V31" i="37"/>
  <c r="AB31" i="37" s="1"/>
  <c r="V32" i="37"/>
  <c r="V33" i="37"/>
  <c r="AB33" i="37" s="1"/>
  <c r="V34" i="37"/>
  <c r="V35" i="37"/>
  <c r="AA35" i="37" s="1"/>
  <c r="V36" i="37"/>
  <c r="AA36" i="37" s="1"/>
  <c r="V37" i="37"/>
  <c r="AA37" i="37" s="1"/>
  <c r="V38" i="37"/>
  <c r="AA38" i="37"/>
  <c r="V39" i="37"/>
  <c r="AA39" i="37" s="1"/>
  <c r="V40" i="37"/>
  <c r="AA40" i="37" s="1"/>
  <c r="V41" i="37"/>
  <c r="AA41" i="37" s="1"/>
  <c r="V42" i="37"/>
  <c r="AA42" i="37" s="1"/>
  <c r="V43" i="37"/>
  <c r="V44" i="37"/>
  <c r="AA44" i="37" s="1"/>
  <c r="V45" i="37"/>
  <c r="AA45" i="37"/>
  <c r="V46" i="37"/>
  <c r="V47" i="37"/>
  <c r="AA47" i="37" s="1"/>
  <c r="V48" i="37"/>
  <c r="AB48" i="37" s="1"/>
  <c r="AA48" i="37"/>
  <c r="V49" i="37"/>
  <c r="AA49" i="37" s="1"/>
  <c r="V50" i="37"/>
  <c r="AA50" i="37" s="1"/>
  <c r="V51" i="37"/>
  <c r="V52" i="37"/>
  <c r="V16" i="37"/>
  <c r="Y15" i="37"/>
  <c r="X15" i="37"/>
  <c r="X16" i="37"/>
  <c r="X17" i="37"/>
  <c r="X18" i="37"/>
  <c r="X19" i="37"/>
  <c r="X20" i="37"/>
  <c r="X21" i="37"/>
  <c r="X22" i="37"/>
  <c r="X23" i="37"/>
  <c r="X24" i="37"/>
  <c r="X25" i="37"/>
  <c r="X26" i="37"/>
  <c r="AB26" i="37" s="1"/>
  <c r="X27" i="37"/>
  <c r="X28" i="37"/>
  <c r="X29" i="37"/>
  <c r="X30" i="37"/>
  <c r="X31" i="37"/>
  <c r="X32" i="37"/>
  <c r="X33" i="37"/>
  <c r="X34" i="37"/>
  <c r="X35" i="37"/>
  <c r="X36" i="37"/>
  <c r="X37" i="37"/>
  <c r="X38" i="37"/>
  <c r="AB38" i="37" s="1"/>
  <c r="X39" i="37"/>
  <c r="X40" i="37"/>
  <c r="X41" i="37"/>
  <c r="X42" i="37"/>
  <c r="X43" i="37"/>
  <c r="X44" i="37"/>
  <c r="X45" i="37"/>
  <c r="X46" i="37"/>
  <c r="X47" i="37"/>
  <c r="X48" i="37"/>
  <c r="X49" i="37"/>
  <c r="X50" i="37"/>
  <c r="X51" i="37"/>
  <c r="X52" i="37"/>
  <c r="W15" i="37"/>
  <c r="W16" i="37"/>
  <c r="W17" i="37"/>
  <c r="W18" i="37"/>
  <c r="W19" i="37"/>
  <c r="W20" i="37"/>
  <c r="W21" i="37"/>
  <c r="W22" i="37"/>
  <c r="AB22" i="37" s="1"/>
  <c r="W23" i="37"/>
  <c r="W24" i="37"/>
  <c r="W25" i="37"/>
  <c r="W26" i="37"/>
  <c r="W27" i="37"/>
  <c r="W28" i="37"/>
  <c r="AB28" i="37" s="1"/>
  <c r="W29" i="37"/>
  <c r="W30" i="37"/>
  <c r="W31" i="37"/>
  <c r="W32" i="37"/>
  <c r="W33" i="37"/>
  <c r="W34" i="37"/>
  <c r="W35" i="37"/>
  <c r="W36" i="37"/>
  <c r="W37" i="37"/>
  <c r="W38" i="37"/>
  <c r="W39" i="37"/>
  <c r="W40" i="37"/>
  <c r="W41" i="37"/>
  <c r="W42" i="37"/>
  <c r="W43" i="37"/>
  <c r="W44" i="37"/>
  <c r="W45" i="37"/>
  <c r="W46" i="37"/>
  <c r="W47" i="37"/>
  <c r="W48" i="37"/>
  <c r="W49" i="37"/>
  <c r="W50" i="37"/>
  <c r="W51" i="37"/>
  <c r="W52" i="37"/>
  <c r="AB52" i="37" s="1"/>
  <c r="V15" i="37"/>
  <c r="AA51" i="37"/>
  <c r="Y14" i="37"/>
  <c r="X14" i="37"/>
  <c r="W14" i="37"/>
  <c r="V14" i="37"/>
  <c r="AB14" i="37" s="1"/>
  <c r="AA43" i="37"/>
  <c r="AB43" i="37"/>
  <c r="AA34" i="37"/>
  <c r="AB34" i="37"/>
  <c r="AA33" i="37"/>
  <c r="F65" i="13"/>
  <c r="H63" i="13"/>
  <c r="F59" i="13"/>
  <c r="H57" i="13"/>
  <c r="F53" i="13"/>
  <c r="H51" i="13" s="1"/>
  <c r="F47" i="13"/>
  <c r="H45" i="13" s="1"/>
  <c r="F41" i="13"/>
  <c r="H39" i="13" s="1"/>
  <c r="F34" i="13"/>
  <c r="H32" i="13" s="1"/>
  <c r="C73" i="13"/>
  <c r="C24" i="13"/>
  <c r="E25" i="13" s="1"/>
  <c r="F25" i="13" s="1"/>
  <c r="B24" i="13"/>
  <c r="C23" i="13"/>
  <c r="E23" i="13" s="1"/>
  <c r="B23" i="13"/>
  <c r="C22" i="13"/>
  <c r="B22" i="13"/>
  <c r="C21" i="13"/>
  <c r="B21" i="13"/>
  <c r="C20" i="13"/>
  <c r="B20" i="13"/>
  <c r="C19" i="13"/>
  <c r="E20" i="13" s="1"/>
  <c r="B19" i="13"/>
  <c r="B18" i="13"/>
  <c r="C18" i="13" s="1"/>
  <c r="AA52" i="37"/>
  <c r="AB27" i="37"/>
  <c r="AB51" i="37"/>
  <c r="AB30" i="37"/>
  <c r="AA46" i="37"/>
  <c r="AB46" i="37" s="1"/>
  <c r="AA32" i="37"/>
  <c r="AB32" i="37" s="1"/>
  <c r="N15" i="37" l="1"/>
  <c r="H54" i="37" s="1"/>
  <c r="M54" i="37" s="1"/>
  <c r="AB15" i="37"/>
  <c r="AB35" i="37"/>
  <c r="E21" i="13"/>
  <c r="AB50" i="37"/>
  <c r="AB25" i="37"/>
  <c r="AB40" i="37"/>
  <c r="E22" i="13"/>
  <c r="AB41" i="37"/>
  <c r="AB23" i="37"/>
  <c r="AB16" i="37"/>
  <c r="AB39" i="37"/>
  <c r="AB24" i="37"/>
  <c r="AB42" i="37"/>
  <c r="AB49" i="37"/>
  <c r="AB37" i="37"/>
  <c r="AB36" i="37"/>
  <c r="E24" i="13"/>
  <c r="AB17" i="37"/>
  <c r="AB45" i="37"/>
  <c r="AB29" i="37"/>
  <c r="E18" i="13"/>
  <c r="F18" i="13" s="1"/>
  <c r="E19" i="13"/>
  <c r="AB47" i="37"/>
  <c r="AB44" i="37"/>
  <c r="C25" i="13"/>
  <c r="N53" i="37" l="1"/>
  <c r="N54" i="37"/>
  <c r="N56" i="37" s="1"/>
  <c r="Q56" i="37" s="1"/>
  <c r="R56" i="37" s="1"/>
  <c r="AB53" i="37"/>
  <c r="T58" i="37" s="1"/>
  <c r="F19" i="13"/>
  <c r="F20" i="13" s="1"/>
  <c r="F21" i="13" s="1"/>
  <c r="F22" i="13" s="1"/>
  <c r="F23" i="13" s="1"/>
  <c r="F24" i="13" s="1"/>
  <c r="S56" i="37" l="1"/>
  <c r="T56" i="37" s="1"/>
  <c r="T62" i="37" s="1"/>
  <c r="F27" i="13"/>
</calcChain>
</file>

<file path=xl/sharedStrings.xml><?xml version="1.0" encoding="utf-8"?>
<sst xmlns="http://schemas.openxmlformats.org/spreadsheetml/2006/main" count="146" uniqueCount="98">
  <si>
    <t xml:space="preserve">Monto de Obra = </t>
  </si>
  <si>
    <t>Parcial</t>
  </si>
  <si>
    <t>Acumulado</t>
  </si>
  <si>
    <t>%</t>
  </si>
  <si>
    <t>Excedente</t>
  </si>
  <si>
    <t>Honorario =</t>
  </si>
  <si>
    <t>REPRESENTACION TECNICA Título V</t>
  </si>
  <si>
    <t>HONORARIO</t>
  </si>
  <si>
    <t>INGENIERIA ELECTROMECANICA Y AFINES</t>
  </si>
  <si>
    <t>Resolución Nº 627</t>
  </si>
  <si>
    <t>f.1.</t>
  </si>
  <si>
    <t>Medición y confección de planos e informe técnico</t>
  </si>
  <si>
    <t>f.2.</t>
  </si>
  <si>
    <t>Al valor en juego (s/documentación fehaciente) se aplicará el Título V - Art. 1º del Vademécum</t>
  </si>
  <si>
    <r>
      <t>Representación Técnica</t>
    </r>
    <r>
      <rPr>
        <sz val="10"/>
        <rFont val="Arial"/>
      </rPr>
      <t xml:space="preserve"> de fabricantes de aparatos sometidos a presión (con o sin fuego)</t>
    </r>
  </si>
  <si>
    <t>f.1.2.</t>
  </si>
  <si>
    <t>de respaldo (no intervino en la fabricación)</t>
  </si>
  <si>
    <r>
      <t xml:space="preserve">Presión máxima habilitante </t>
    </r>
    <r>
      <rPr>
        <b/>
        <sz val="10"/>
        <rFont val="Arial"/>
        <family val="2"/>
      </rPr>
      <t>P</t>
    </r>
    <r>
      <rPr>
        <sz val="10"/>
        <rFont val="Arial"/>
      </rPr>
      <t xml:space="preserve"> =</t>
    </r>
  </si>
  <si>
    <r>
      <t xml:space="preserve">Volumén </t>
    </r>
    <r>
      <rPr>
        <b/>
        <sz val="10"/>
        <rFont val="Arial"/>
        <family val="2"/>
      </rPr>
      <t xml:space="preserve">V </t>
    </r>
    <r>
      <rPr>
        <sz val="10"/>
        <rFont val="Arial"/>
        <family val="2"/>
      </rPr>
      <t>=</t>
    </r>
  </si>
  <si>
    <t>f.3.</t>
  </si>
  <si>
    <r>
      <t xml:space="preserve">N </t>
    </r>
    <r>
      <rPr>
        <sz val="10"/>
        <rFont val="Arial"/>
      </rPr>
      <t>=</t>
    </r>
  </si>
  <si>
    <r>
      <t>Habilitación de tanques</t>
    </r>
    <r>
      <rPr>
        <sz val="10"/>
        <rFont val="Arial"/>
      </rPr>
      <t xml:space="preserve"> y otros aparatos a presión sin fuego, nuevos o en servicio con documentación </t>
    </r>
  </si>
  <si>
    <r>
      <t>Habilitación de calderas</t>
    </r>
    <r>
      <rPr>
        <sz val="10"/>
        <rFont val="Arial"/>
      </rPr>
      <t xml:space="preserve"> y otros aparatos a presión con fuego, nuevos o en servicio con documentación </t>
    </r>
  </si>
  <si>
    <r>
      <t xml:space="preserve">Superficie de intercambio    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 =</t>
    </r>
  </si>
  <si>
    <r>
      <t xml:space="preserve">Presión máxima habilitante  </t>
    </r>
    <r>
      <rPr>
        <b/>
        <sz val="10"/>
        <rFont val="Arial"/>
        <family val="2"/>
      </rPr>
      <t>P</t>
    </r>
    <r>
      <rPr>
        <sz val="10"/>
        <rFont val="Arial"/>
      </rPr>
      <t xml:space="preserve"> =</t>
    </r>
  </si>
  <si>
    <t>f.4.</t>
  </si>
  <si>
    <r>
      <t>Extensión de vida útil</t>
    </r>
    <r>
      <rPr>
        <sz val="10"/>
        <rFont val="Arial"/>
      </rPr>
      <t xml:space="preserve"> de tanques y otros aparatos a presión sin fuego</t>
    </r>
  </si>
  <si>
    <t>PROFESIONAL</t>
  </si>
  <si>
    <t>f.5.</t>
  </si>
  <si>
    <r>
      <t>Extensión de vida útil</t>
    </r>
    <r>
      <rPr>
        <sz val="10"/>
        <rFont val="Arial"/>
      </rPr>
      <t xml:space="preserve"> de calderas y otros aparatos a presión con fuego</t>
    </r>
  </si>
  <si>
    <t>f.10.</t>
  </si>
  <si>
    <r>
      <t>Inspección períodica</t>
    </r>
    <r>
      <rPr>
        <sz val="10"/>
        <rFont val="Arial"/>
        <family val="2"/>
      </rPr>
      <t xml:space="preserve"> de tanques y otros aparatos a presión sin fuego</t>
    </r>
  </si>
  <si>
    <t>f.11.</t>
  </si>
  <si>
    <r>
      <t>Inspección períodica</t>
    </r>
    <r>
      <rPr>
        <sz val="10"/>
        <rFont val="Arial"/>
        <family val="2"/>
      </rPr>
      <t xml:space="preserve"> de calderas y otros aparatos a presión con fuego</t>
    </r>
  </si>
  <si>
    <t>f.12.</t>
  </si>
  <si>
    <r>
      <t>Agrupamiento de aparatos en una misma planta.</t>
    </r>
    <r>
      <rPr>
        <sz val="10"/>
        <rFont val="Arial"/>
        <family val="2"/>
      </rPr>
      <t xml:space="preserve"> </t>
    </r>
  </si>
  <si>
    <t xml:space="preserve">Coeficiente de reducción del honorario. </t>
  </si>
  <si>
    <t>Donde N = nº de aparatos &gt;= 3</t>
  </si>
  <si>
    <t>Id =</t>
  </si>
  <si>
    <t>Id = 1,12 x N ^(-1/8)</t>
  </si>
  <si>
    <t xml:space="preserve">                                    </t>
  </si>
  <si>
    <t>Aplicar sobre un monto total resultado de la suma de los H.P.,de los aparatos en forma individual.-</t>
  </si>
  <si>
    <t>Coeficiente Actualización</t>
  </si>
  <si>
    <t>N=</t>
  </si>
  <si>
    <t>Coeficiente Actualización     Res. 875 del 20/09/06</t>
  </si>
  <si>
    <t xml:space="preserve">  COMITENTE:</t>
  </si>
  <si>
    <t xml:space="preserve">  REPRESENTADO POR:</t>
  </si>
  <si>
    <t xml:space="preserve">  BIEN UBICADO EN:</t>
  </si>
  <si>
    <t xml:space="preserve">  LOCALIDAD:</t>
  </si>
  <si>
    <t xml:space="preserve">  PARTIDO:</t>
  </si>
  <si>
    <t xml:space="preserve">  DATOS CATASTRALES:</t>
  </si>
  <si>
    <t>DECLARACION JURADA DE HONORARIOS PROFESIONALES</t>
  </si>
  <si>
    <t>APARATOS SOMETIDOS A PRESION  DESGLOSE DE TAREAS P/DETERMINACION DEL MONTO DEL CONTRATO</t>
  </si>
  <si>
    <t>Nº</t>
  </si>
  <si>
    <t>DESCRIPCION DEL ASP</t>
  </si>
  <si>
    <t>ENCUADRE TAREA</t>
  </si>
  <si>
    <t>ITEM S/RES. N°610</t>
  </si>
  <si>
    <t>V (m³)</t>
  </si>
  <si>
    <t>P (Kg/cm²)</t>
  </si>
  <si>
    <t>S (m²)</t>
  </si>
  <si>
    <t>H.P. CALCULADO POR FORMULA</t>
  </si>
  <si>
    <t>SUMA TOTAL H.P.</t>
  </si>
  <si>
    <t>AGRUPACION DE APARATOS DE UNA MISMA PLANTA</t>
  </si>
  <si>
    <t>COEFICIENTE DE REDUCCION</t>
  </si>
  <si>
    <t>MONTO DEL CONTRATO</t>
  </si>
  <si>
    <t>FIRMA Y SELLO DEL MATRICULADO</t>
  </si>
  <si>
    <t>FIRMA DE COMITENTE</t>
  </si>
  <si>
    <t>Habilitacion ASP s/f</t>
  </si>
  <si>
    <t>Ext. vida util ASP s/f</t>
  </si>
  <si>
    <t>Inspeccion ASP s/f</t>
  </si>
  <si>
    <t>Habilitacion ASP c/f</t>
  </si>
  <si>
    <t>Ext. vida util ASP c/f</t>
  </si>
  <si>
    <t>Inspeccion ASP c/f</t>
  </si>
  <si>
    <t>Insp. con PH ASP s/f</t>
  </si>
  <si>
    <t>GASTOS TOTALES</t>
  </si>
  <si>
    <t>GASTOS OPDS</t>
  </si>
  <si>
    <t>GASTOS COLEGIO</t>
  </si>
  <si>
    <t>GASTOS VARIOS</t>
  </si>
  <si>
    <t>Acta</t>
  </si>
  <si>
    <t>Gastos</t>
  </si>
  <si>
    <t>Gastos Admin.</t>
  </si>
  <si>
    <t>Timbrado</t>
  </si>
  <si>
    <t>Total</t>
  </si>
  <si>
    <t>Aporte</t>
  </si>
  <si>
    <t>Visado</t>
  </si>
  <si>
    <t>Coeficiente actualizacion</t>
  </si>
  <si>
    <t xml:space="preserve"> </t>
  </si>
  <si>
    <t>LA TABLA PERMITE UTILIZAR LA MISMA PARA UN APARATO O MAS</t>
  </si>
  <si>
    <t>en encuadre tarea elija lo que corresponda para cada caso desplegando en la tabla</t>
  </si>
  <si>
    <t xml:space="preserve">SI TIENE MAS QUE UN RENGLON, PARA QUE TIRE EL VALOR DEL HONORARIO DEBERE COPIAR </t>
  </si>
  <si>
    <t>PARANDOSE EN EL PRIMER RENGLON Y COPIAR</t>
  </si>
  <si>
    <t xml:space="preserve">Y PEGAR ABAJO LA FORMULA PARA QUE DE LOS HONORARIOS </t>
  </si>
  <si>
    <t>pulmon aire comprimido</t>
  </si>
  <si>
    <t>f,2</t>
  </si>
  <si>
    <t>f,10</t>
  </si>
  <si>
    <t>inc. a) cualquier tarea profesional x 76/10000</t>
  </si>
  <si>
    <t>inc a)</t>
  </si>
  <si>
    <t>ANEXO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</si>
</sst>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.0000"/>
    <numFmt numFmtId="166" formatCode="0.000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bscript"/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164" fontId="2" fillId="0" borderId="0" xfId="2" applyFont="1"/>
    <xf numFmtId="0" fontId="2" fillId="0" borderId="0" xfId="0" applyFont="1" applyAlignment="1">
      <alignment horizontal="center"/>
    </xf>
    <xf numFmtId="164" fontId="0" fillId="0" borderId="0" xfId="2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2" applyFont="1" applyAlignment="1">
      <alignment horizontal="center"/>
    </xf>
    <xf numFmtId="164" fontId="2" fillId="0" borderId="0" xfId="2" applyFont="1" applyAlignment="1">
      <alignment horizontal="center"/>
    </xf>
    <xf numFmtId="0" fontId="0" fillId="0" borderId="0" xfId="0" applyAlignment="1">
      <alignment horizontal="right"/>
    </xf>
    <xf numFmtId="164" fontId="4" fillId="0" borderId="0" xfId="2" applyFont="1" applyAlignment="1">
      <alignment horizontal="center" vertical="center"/>
    </xf>
    <xf numFmtId="0" fontId="5" fillId="0" borderId="0" xfId="0" applyFont="1"/>
    <xf numFmtId="164" fontId="5" fillId="0" borderId="0" xfId="2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164" fontId="2" fillId="0" borderId="1" xfId="2" applyFont="1" applyBorder="1"/>
    <xf numFmtId="165" fontId="7" fillId="0" borderId="1" xfId="0" applyNumberFormat="1" applyFont="1" applyBorder="1" applyAlignment="1">
      <alignment horizontal="center"/>
    </xf>
    <xf numFmtId="0" fontId="4" fillId="0" borderId="0" xfId="0" applyFont="1"/>
    <xf numFmtId="164" fontId="2" fillId="0" borderId="0" xfId="2" applyFont="1" applyBorder="1"/>
    <xf numFmtId="39" fontId="0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0" fillId="0" borderId="2" xfId="2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39" fontId="0" fillId="0" borderId="0" xfId="2" applyNumberFormat="1" applyFont="1"/>
    <xf numFmtId="0" fontId="0" fillId="0" borderId="0" xfId="0" applyAlignment="1">
      <alignment horizontal="center" wrapText="1"/>
    </xf>
    <xf numFmtId="164" fontId="2" fillId="0" borderId="3" xfId="2" applyFont="1" applyBorder="1"/>
    <xf numFmtId="0" fontId="2" fillId="0" borderId="0" xfId="0" applyFont="1" applyAlignment="1">
      <alignment horizontal="right" vertical="center"/>
    </xf>
    <xf numFmtId="165" fontId="2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4" xfId="0" applyFont="1" applyBorder="1"/>
    <xf numFmtId="0" fontId="10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0" fillId="0" borderId="8" xfId="0" applyFont="1" applyBorder="1"/>
    <xf numFmtId="0" fontId="10" fillId="0" borderId="2" xfId="0" applyFont="1" applyBorder="1"/>
    <xf numFmtId="0" fontId="10" fillId="0" borderId="9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7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5" fillId="0" borderId="3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0" borderId="16" xfId="0" applyFont="1" applyBorder="1"/>
    <xf numFmtId="0" fontId="10" fillId="0" borderId="17" xfId="0" applyFont="1" applyBorder="1"/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2" fontId="0" fillId="0" borderId="11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166" fontId="3" fillId="0" borderId="11" xfId="0" quotePrefix="1" applyNumberFormat="1" applyFont="1" applyBorder="1" applyAlignment="1">
      <alignment horizontal="center" vertical="center" wrapText="1"/>
    </xf>
    <xf numFmtId="166" fontId="3" fillId="0" borderId="12" xfId="0" quotePrefix="1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6" fontId="0" fillId="0" borderId="11" xfId="0" quotePrefix="1" applyNumberFormat="1" applyBorder="1" applyAlignment="1">
      <alignment horizontal="center" vertical="center" wrapText="1"/>
    </xf>
    <xf numFmtId="166" fontId="0" fillId="0" borderId="12" xfId="0" quotePrefix="1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2" fillId="0" borderId="0" xfId="2" applyFont="1" applyAlignment="1">
      <alignment horizontal="center"/>
    </xf>
    <xf numFmtId="0" fontId="0" fillId="0" borderId="0" xfId="0" applyAlignment="1">
      <alignment horizontal="right"/>
    </xf>
    <xf numFmtId="164" fontId="4" fillId="0" borderId="13" xfId="2" applyFont="1" applyBorder="1" applyAlignment="1">
      <alignment horizontal="center" vertical="center"/>
    </xf>
    <xf numFmtId="164" fontId="4" fillId="0" borderId="10" xfId="2" applyFont="1" applyBorder="1" applyAlignment="1">
      <alignment horizontal="center" vertical="center"/>
    </xf>
    <xf numFmtId="164" fontId="4" fillId="0" borderId="14" xfId="2" applyFon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12" fillId="0" borderId="11" xfId="0" applyFont="1" applyBorder="1" applyAlignment="1">
      <alignment horizontal="right" wrapText="1"/>
    </xf>
    <xf numFmtId="0" fontId="12" fillId="0" borderId="15" xfId="0" applyFont="1" applyBorder="1" applyAlignment="1">
      <alignment horizontal="right" wrapText="1"/>
    </xf>
    <xf numFmtId="0" fontId="3" fillId="0" borderId="1" xfId="0" applyFont="1" applyBorder="1"/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277814</xdr:colOff>
      <xdr:row>0</xdr:row>
      <xdr:rowOff>47625</xdr:rowOff>
    </xdr:from>
    <xdr:to>
      <xdr:col>4</xdr:col>
      <xdr:colOff>349252</xdr:colOff>
      <xdr:row>7</xdr:row>
      <xdr:rowOff>201762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814" y="47625"/>
          <a:ext cx="1944688" cy="15035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2"/>
  <sheetViews>
    <sheetView tabSelected="1" zoomScale="120" zoomScaleNormal="120" workbookViewId="0">
      <selection activeCell="N16" sqref="N16:O16"/>
    </sheetView>
  </sheetViews>
  <sheetFormatPr baseColWidth="10" defaultRowHeight="12.75" x14ac:dyDescent="0.2"/>
  <cols>
    <col min="1" max="1" width="5.28515625" style="37" customWidth="1"/>
    <col min="2" max="3" width="9.140625" style="37" customWidth="1"/>
    <col min="4" max="4" width="4.5703125" style="37" customWidth="1"/>
    <col min="5" max="5" width="9.140625" style="37" customWidth="1"/>
    <col min="6" max="6" width="11.140625" style="37" customWidth="1"/>
    <col min="7" max="7" width="9.140625" style="37" customWidth="1"/>
    <col min="8" max="8" width="5.42578125" style="37" customWidth="1"/>
    <col min="9" max="9" width="4.5703125" style="37" customWidth="1"/>
    <col min="10" max="10" width="3.28515625" style="37" customWidth="1"/>
    <col min="11" max="11" width="5.5703125" style="37" customWidth="1"/>
    <col min="12" max="12" width="3.5703125" style="37" customWidth="1"/>
    <col min="13" max="13" width="7.28515625" style="37" customWidth="1"/>
    <col min="14" max="15" width="11.42578125" style="37" customWidth="1"/>
    <col min="16" max="16" width="12.7109375" style="37" bestFit="1" customWidth="1"/>
    <col min="17" max="17" width="11.42578125" style="37" customWidth="1"/>
    <col min="18" max="18" width="11.42578125" style="37"/>
    <col min="19" max="19" width="12.5703125" style="37" customWidth="1"/>
    <col min="20" max="16384" width="11.42578125" style="37"/>
  </cols>
  <sheetData>
    <row r="1" spans="1:28" x14ac:dyDescent="0.2">
      <c r="A1" s="32"/>
      <c r="B1" s="33"/>
      <c r="C1" s="34"/>
      <c r="D1" s="33"/>
      <c r="E1" s="35"/>
      <c r="F1" s="36"/>
      <c r="G1" s="33"/>
      <c r="H1" s="33"/>
      <c r="I1" s="33"/>
      <c r="J1" s="33"/>
      <c r="K1" s="36"/>
      <c r="L1" s="33"/>
      <c r="M1" s="33"/>
      <c r="N1" s="33"/>
      <c r="O1" s="35"/>
    </row>
    <row r="2" spans="1:28" x14ac:dyDescent="0.2">
      <c r="A2" s="38"/>
      <c r="B2" s="39"/>
      <c r="C2" s="39"/>
      <c r="E2" s="40"/>
      <c r="F2" s="41" t="s">
        <v>45</v>
      </c>
      <c r="G2" s="42"/>
      <c r="H2" s="42"/>
      <c r="I2" s="42"/>
      <c r="J2" s="42"/>
      <c r="K2" s="55"/>
      <c r="L2" s="43"/>
      <c r="M2" s="43"/>
      <c r="O2" s="40"/>
    </row>
    <row r="3" spans="1:28" x14ac:dyDescent="0.2">
      <c r="A3" s="38"/>
      <c r="B3" s="39"/>
      <c r="C3" s="39"/>
      <c r="E3" s="40"/>
      <c r="F3" s="41" t="s">
        <v>46</v>
      </c>
      <c r="G3" s="42"/>
      <c r="H3" s="42"/>
      <c r="I3" s="42"/>
      <c r="J3" s="42"/>
      <c r="K3" s="55"/>
      <c r="L3" s="43"/>
      <c r="M3" s="43"/>
      <c r="O3" s="40"/>
      <c r="R3" s="151" t="s">
        <v>97</v>
      </c>
      <c r="S3" s="151" t="s">
        <v>96</v>
      </c>
      <c r="T3" s="151">
        <v>300000</v>
      </c>
    </row>
    <row r="4" spans="1:28" x14ac:dyDescent="0.2">
      <c r="A4" s="38"/>
      <c r="B4" s="39"/>
      <c r="C4" s="39"/>
      <c r="E4" s="40"/>
      <c r="F4" s="41" t="s">
        <v>47</v>
      </c>
      <c r="G4" s="42"/>
      <c r="H4" s="42"/>
      <c r="I4" s="42"/>
      <c r="J4" s="42"/>
      <c r="K4" s="55"/>
      <c r="L4" s="43"/>
      <c r="M4" s="43"/>
      <c r="O4" s="40"/>
    </row>
    <row r="5" spans="1:28" ht="18.75" x14ac:dyDescent="0.35">
      <c r="A5" s="117"/>
      <c r="B5" s="118"/>
      <c r="C5" s="118"/>
      <c r="D5" s="118"/>
      <c r="E5" s="119"/>
      <c r="F5" s="41" t="s">
        <v>48</v>
      </c>
      <c r="G5" s="42"/>
      <c r="H5" s="42"/>
      <c r="I5" s="42"/>
      <c r="J5" s="42"/>
      <c r="K5" s="55"/>
      <c r="L5" s="43"/>
      <c r="M5" s="43"/>
      <c r="O5" s="40"/>
      <c r="R5" s="1" t="s">
        <v>85</v>
      </c>
      <c r="T5" s="58">
        <f>T3*76/10000</f>
        <v>2280</v>
      </c>
    </row>
    <row r="6" spans="1:28" ht="18.75" x14ac:dyDescent="0.35">
      <c r="A6" s="117"/>
      <c r="B6" s="118"/>
      <c r="C6" s="118"/>
      <c r="D6" s="118"/>
      <c r="E6" s="119"/>
      <c r="F6" s="41" t="s">
        <v>49</v>
      </c>
      <c r="G6" s="42"/>
      <c r="H6" s="42"/>
      <c r="I6" s="42"/>
      <c r="J6" s="42"/>
      <c r="K6" s="55"/>
      <c r="L6" s="43"/>
      <c r="M6" s="43"/>
      <c r="O6" s="40"/>
      <c r="R6" s="56"/>
    </row>
    <row r="7" spans="1:28" ht="18.75" x14ac:dyDescent="0.35">
      <c r="A7" s="117"/>
      <c r="B7" s="118"/>
      <c r="C7" s="118"/>
      <c r="D7" s="118"/>
      <c r="E7" s="119"/>
      <c r="F7" s="41" t="s">
        <v>50</v>
      </c>
      <c r="G7" s="42"/>
      <c r="H7" s="42"/>
      <c r="I7" s="42"/>
      <c r="J7" s="42"/>
      <c r="K7" s="41"/>
      <c r="O7" s="40"/>
      <c r="R7" s="56" t="s">
        <v>95</v>
      </c>
    </row>
    <row r="8" spans="1:28" ht="19.5" thickBot="1" x14ac:dyDescent="0.4">
      <c r="A8" s="120"/>
      <c r="B8" s="121"/>
      <c r="C8" s="121"/>
      <c r="D8" s="121"/>
      <c r="E8" s="122"/>
      <c r="F8" s="44"/>
      <c r="G8" s="45"/>
      <c r="H8" s="45"/>
      <c r="I8" s="45"/>
      <c r="J8" s="45"/>
      <c r="K8" s="44"/>
      <c r="L8" s="45"/>
      <c r="M8" s="45"/>
      <c r="N8" s="45"/>
      <c r="O8" s="46"/>
    </row>
    <row r="9" spans="1:28" ht="13.5" thickBot="1" x14ac:dyDescent="0.25">
      <c r="A9" s="126" t="s">
        <v>51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S9" s="59" t="s">
        <v>55</v>
      </c>
      <c r="T9" s="60"/>
    </row>
    <row r="10" spans="1:28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28" x14ac:dyDescent="0.2">
      <c r="A11" s="128" t="s">
        <v>52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30"/>
      <c r="S11" s="37" t="s">
        <v>67</v>
      </c>
    </row>
    <row r="12" spans="1:28" x14ac:dyDescent="0.2">
      <c r="A12" s="64" t="s">
        <v>53</v>
      </c>
      <c r="B12" s="64" t="s">
        <v>54</v>
      </c>
      <c r="C12" s="64"/>
      <c r="D12" s="64"/>
      <c r="E12" s="64" t="s">
        <v>55</v>
      </c>
      <c r="F12" s="64"/>
      <c r="G12" s="64" t="s">
        <v>56</v>
      </c>
      <c r="H12" s="64"/>
      <c r="I12" s="64" t="s">
        <v>57</v>
      </c>
      <c r="J12" s="64"/>
      <c r="K12" s="64" t="s">
        <v>58</v>
      </c>
      <c r="L12" s="64"/>
      <c r="M12" s="64" t="s">
        <v>59</v>
      </c>
      <c r="N12" s="64" t="s">
        <v>60</v>
      </c>
      <c r="O12" s="64"/>
      <c r="S12" s="37" t="s">
        <v>68</v>
      </c>
      <c r="V12" s="94" t="s">
        <v>78</v>
      </c>
      <c r="W12" s="94" t="s">
        <v>79</v>
      </c>
      <c r="X12" s="94"/>
      <c r="Y12" s="94"/>
      <c r="Z12" s="95" t="s">
        <v>80</v>
      </c>
      <c r="AA12" s="96" t="s">
        <v>81</v>
      </c>
      <c r="AB12" s="63" t="s">
        <v>82</v>
      </c>
    </row>
    <row r="13" spans="1:28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S13" s="37" t="s">
        <v>69</v>
      </c>
      <c r="V13" s="94"/>
      <c r="W13" s="94"/>
      <c r="X13" s="94"/>
      <c r="Y13" s="94"/>
      <c r="Z13" s="95"/>
      <c r="AA13" s="96"/>
      <c r="AB13" s="63"/>
    </row>
    <row r="14" spans="1:28" ht="12.75" customHeight="1" x14ac:dyDescent="0.2">
      <c r="A14" s="47">
        <v>1</v>
      </c>
      <c r="B14" s="111" t="s">
        <v>92</v>
      </c>
      <c r="C14" s="112"/>
      <c r="D14" s="112"/>
      <c r="E14" s="92" t="s">
        <v>67</v>
      </c>
      <c r="F14" s="93"/>
      <c r="G14" s="92" t="s">
        <v>93</v>
      </c>
      <c r="H14" s="123"/>
      <c r="I14" s="124">
        <v>0.2</v>
      </c>
      <c r="J14" s="125"/>
      <c r="K14" s="97">
        <v>3</v>
      </c>
      <c r="L14" s="98">
        <v>7</v>
      </c>
      <c r="M14" s="57"/>
      <c r="N14" s="90">
        <f>IF(E14="Habilitacion ASP s/f",((155+21*(I14*K14)^(1/3)*1)*$T$5),IF(E14="Ext. vida util ASP s/f",((300+34*(I14*K14)^(1/3)*1)*$T$5),IF(E14="Inspeccion ASP s/f",((100+12*(I14*K14)^(1/3)*1)*$T$5),IF(E14="Habilitacion ASP c/f",((340+7*(K14*M14)^(1/2)*1)*$T$5),IF(E14="Inspeccion ASP c/f",((160+5*(K14*M14)^(1/2)*1)*$T$5),IF(E14="Ext. vida util ASP c/f",((780+16*(K14*M14)^(1/2)*1)*$T$5),IF(E14="Insp. con PH ASP s/f",((155+21*(I14*K14)^(1/3)*1)*$T$5))))))))</f>
        <v>393783.55601464777</v>
      </c>
      <c r="O14" s="91"/>
      <c r="S14" s="37" t="s">
        <v>70</v>
      </c>
      <c r="V14" s="47">
        <f>IF(OR(E14="Habilitacion ASP c/f",E14="Ext. Vida util ASP c/f",E14="Inspeccion ASP c/f"),(1010),(IF(OR(E14="Habilitacion ASP s/f",E14="Ext. Vida util ASP s/f",E14="Inspeccion ASP s/f",E14="Insp. Con PH ASP s/f"),(1970),(0))))</f>
        <v>1970</v>
      </c>
      <c r="W14" s="47">
        <f>IF(AND(I14&lt;=0.5,I14&gt;0,E14="Ext. vida util ASP s/f"),(2182),IF(AND(I14&lt;=1000,I14&gt;0.501,E14="Ext. vida util ASP s/f"),(I14*1000*6.86),IF(AND(I14&lt;=1000,I14&gt;10,E14="Ext. vida util ASP s/f"),(7106054),IF(AND(I14&lt;=0.5,I14&gt;0,E14="Inspeccion ASP s/f"),(1880),IF(AND(I14&lt;=1000,I14&gt;0.501,E14="Inspeccion ASP s/f"),(1000*I14*6.14),(0))))))</f>
        <v>0</v>
      </c>
      <c r="X14" s="47">
        <f>IF(AND(I14&lt;=0.5,I14&gt;0,E14="Habilitacion ASP s/f"),(1757),IF(AND(I14&lt;=1000,I14&gt;0.501,E14="Habilitacion ASP s/f"),(1000*I14*5.42),IF(AND(I14&lt;=0.5,I14&gt;0,E14="Insp. con PH ASP s/f"),(1880),IF(AND(I14&lt;=1000,I14&gt;0.501,E14="Insp. Con PH ASP s/f"),(1000*I14*6.14),IF(AND(M14&lt;=20,M14&gt;0,E14="Habilitacion ASP c/f"),(2601),IF(AND(M14&lt;=500,M14&gt;20,E14="Habilitacion ASP c/f"),(M14*199),(0)))))))</f>
        <v>1757</v>
      </c>
      <c r="Y14" s="47">
        <f>IF(AND(M14&lt;=20,M14&gt;0,E14="Inspeccion ASP c/f"),(3713),IF(AND(M14&lt;=500,M14&gt;21,E14="Inspeccion ASP c/f"),(M14*234),IF(AND(M14&lt;=20,M14&gt;1,E14="Ext. Vida util ASP c/f"),(3229),IF(AND(M14&lt;=500,M14&gt;21,E14="Ext. Vida util ASP c/f"),(M14*246),IF(AND(M14&gt;500,E14="Ext. Vida util ASP c/f"),(153789),(0))))))</f>
        <v>0</v>
      </c>
      <c r="Z14" s="47">
        <v>0</v>
      </c>
      <c r="AA14" s="47">
        <v>10</v>
      </c>
      <c r="AB14" s="47">
        <f>V14+W14+X14+Y14+Z14+AA14</f>
        <v>3737</v>
      </c>
    </row>
    <row r="15" spans="1:28" ht="12.75" customHeight="1" x14ac:dyDescent="0.2">
      <c r="A15" s="47">
        <v>2</v>
      </c>
      <c r="B15" s="111" t="s">
        <v>92</v>
      </c>
      <c r="C15" s="112"/>
      <c r="D15" s="112"/>
      <c r="E15" s="92" t="s">
        <v>69</v>
      </c>
      <c r="F15" s="93"/>
      <c r="G15" s="111" t="s">
        <v>94</v>
      </c>
      <c r="H15" s="62"/>
      <c r="I15" s="124">
        <v>2.4E-2</v>
      </c>
      <c r="J15" s="125"/>
      <c r="K15" s="97">
        <v>7</v>
      </c>
      <c r="L15" s="98"/>
      <c r="M15" s="47"/>
      <c r="N15" s="90">
        <f>IF(E15="Habilitacion ASP s/f",((155+21*(I15*K15)^(1/3)*1)*$T$5),IF(E15="Ext. vida util ASP s/f",((300+34*(I15*K15)^(1/3)*1)*$T$5),IF(E15="Inspeccion ASP s/f",((100+12*(I15*K15)^(1/3)*1)*$T$5),IF(E15="Habilitacion ASP c/f",((340+7*(K15*M15)^(1/2)*1)*$T$5),IF(E15="Inspeccion ASP c/f",((160+5*(K15*M15)^(1/2)*1)*$T$5),IF(E15="Ext. vida util ASP c/f",((780+16*(K15*M15)^(1/2)*1)*$T$5),IF(E15="Insp. con PH ASP s/f",((155+21*(I15*K15)^(1/3)*1)*$T$5))))))))</f>
        <v>243096.8330931575</v>
      </c>
      <c r="O15" s="91"/>
      <c r="S15" s="37" t="s">
        <v>71</v>
      </c>
      <c r="V15" s="47">
        <f>IF(OR(E15="Habilitacion ASP c/f",E15="Ext. Vida util ASP c/f",E15="Inspeccion ASP c/f"),(1010),(IF(OR(E15="Habilitacion ASP s/f",E15="Ext. Vida util ASP s/f",E15="Inspeccion ASP s/f",E15="Insp. Con PH ASP s/f"),(1970),(0))))</f>
        <v>1970</v>
      </c>
      <c r="W15" s="47">
        <f t="shared" ref="W15:W52" si="0">IF(AND(I15&lt;=0.5,I15&gt;0,E15="Ext. vida util ASP s/f"),(2182),IF(AND(I15&lt;=1000,I15&gt;0.501,E15="Ext. vida util ASP s/f"),(I15*1000*6.86),IF(AND(I15&lt;=1000,I15&gt;10,E15="Ext. vida util ASP s/f"),(7106054),IF(AND(I15&lt;=0.5,I15&gt;0,E15="Inspeccion ASP s/f"),(1880),IF(AND(I15&lt;=1000,I15&gt;0.501,E15="Inspeccion ASP s/f"),(1000*I15*6.14),(0))))))</f>
        <v>1880</v>
      </c>
      <c r="X15" s="47">
        <f t="shared" ref="X15:X52" si="1">IF(AND(I15&lt;=0.5,I15&gt;0,E15="Habilitacion ASP s/f"),(1757),IF(AND(I15&lt;=1000,I15&gt;0.501,E15="Habilitacion ASP s/f"),(1000*I15*5.42),IF(AND(I15&lt;=0.5,I15&gt;0,E15="Insp. con PH ASP s/f"),(1880),IF(AND(I15&lt;=1000,I15&gt;0.501,E15="Insp. Con PH ASP s/f"),(1000*I15*6.14),IF(AND(M15&lt;=20,M15&gt;0,E15="Habilitacion ASP c/f"),(2601),IF(AND(M15&lt;=500,M15&gt;20,E15="Habilitacion ASP c/f"),(M15*199),(0)))))))</f>
        <v>0</v>
      </c>
      <c r="Y15" s="47">
        <f>IF(AND(M15&lt;=20,M15&gt;0,E15="Inspeccion ASP c/f"),(3713),IF(AND(M15&lt;=500,M15&gt;21,E15="Inspeccion ASP c/f"),(M15*234),IF(AND(M15&lt;=20,M15&gt;1,E15="Ext. Vida util ASP c/f"),(3229),IF(AND(M15&lt;=500,M15&gt;21,E15="Ext. Vida util ASP c/f"),(M15*246),IF(AND(M15&gt;500,E15="Ext. Vida util ASP c/f"),(153789),(0))))))</f>
        <v>0</v>
      </c>
      <c r="Z15" s="47">
        <v>0</v>
      </c>
      <c r="AA15" s="47">
        <v>0</v>
      </c>
      <c r="AB15" s="47">
        <f t="shared" ref="AB15:AB31" si="2">V15+W15+X15+Y15+Z15+AA15</f>
        <v>3850</v>
      </c>
    </row>
    <row r="16" spans="1:28" ht="12.75" customHeight="1" x14ac:dyDescent="0.2">
      <c r="A16" s="47">
        <v>3</v>
      </c>
      <c r="B16" s="111"/>
      <c r="C16" s="112"/>
      <c r="D16" s="112"/>
      <c r="E16" s="92"/>
      <c r="F16" s="93"/>
      <c r="G16" s="62"/>
      <c r="H16" s="62"/>
      <c r="I16" s="131"/>
      <c r="J16" s="132"/>
      <c r="K16" s="97"/>
      <c r="L16" s="98"/>
      <c r="M16" s="57"/>
      <c r="N16" s="90"/>
      <c r="O16" s="91"/>
      <c r="S16" s="37" t="s">
        <v>72</v>
      </c>
      <c r="V16" s="47">
        <f>IF(OR(E16="Habilitacion ASP c/f",E16="Ext. Vida util ASP c/f",E16="Inspeccion ASP c/f"),(1970),(IF(OR(E16="Habilitacion ASP s/f",E16="Ext. Vida util ASP s/f",E16="Inspeccion ASP s/f",E16="Insp. Con PH ASP s/f"),(1970),(0))))</f>
        <v>0</v>
      </c>
      <c r="W16" s="47">
        <f t="shared" si="0"/>
        <v>0</v>
      </c>
      <c r="X16" s="47">
        <f t="shared" si="1"/>
        <v>0</v>
      </c>
      <c r="Y16" s="47">
        <f>IF(AND(M16&lt;=20,M16&gt;0,E16="Inspeccion ASP c/f"),(3713),IF(AND(M16&lt;=500,M16&gt;21,E16="Inspeccion ASP c/f"),(M16*120),IF(AND(M16&lt;=20,M16&gt;1,E16="Ext. Vida util ASP c/f"),(3229),IF(AND(M16&lt;=500,M16&gt;21,E16="Ext. Vida util ASP c/f"),(M16*246),IF(AND(M16&gt;500,E16="Ext. Vida util ASP c/f"),(153789),(0))))))</f>
        <v>0</v>
      </c>
      <c r="Z16" s="47">
        <v>0</v>
      </c>
      <c r="AA16" s="47">
        <v>0</v>
      </c>
      <c r="AB16" s="47">
        <f t="shared" si="2"/>
        <v>0</v>
      </c>
    </row>
    <row r="17" spans="1:28" ht="12.75" customHeight="1" x14ac:dyDescent="0.2">
      <c r="A17" s="47">
        <v>4</v>
      </c>
      <c r="B17" s="111"/>
      <c r="C17" s="112"/>
      <c r="D17" s="112"/>
      <c r="E17" s="92"/>
      <c r="F17" s="93"/>
      <c r="G17" s="62"/>
      <c r="H17" s="62"/>
      <c r="I17" s="115"/>
      <c r="J17" s="116"/>
      <c r="K17" s="97"/>
      <c r="L17" s="98"/>
      <c r="M17" s="47"/>
      <c r="N17" s="90"/>
      <c r="O17" s="91"/>
      <c r="S17" s="37" t="s">
        <v>73</v>
      </c>
      <c r="V17" s="47">
        <f t="shared" ref="V17:V52" si="3">IF(OR(E17="Habilitacion ASP c/f",E17="Ext. Vida util ASP c/f",E17="Inspeccion ASP c/f"),(1970),(IF(OR(E17="Habilitacion ASP s/f",E17="Ext. Vida util ASP s/f",E17="Inspeccion ASP s/f",E17="Insp. Con PH ASP s/f"),(1970),(0))))</f>
        <v>0</v>
      </c>
      <c r="W17" s="47">
        <f t="shared" si="0"/>
        <v>0</v>
      </c>
      <c r="X17" s="47">
        <f t="shared" si="1"/>
        <v>0</v>
      </c>
      <c r="Y17" s="47">
        <f t="shared" ref="Y17:Y52" si="4">IF(AND(M17&lt;=20,M17&gt;0,E17="Inspeccion ASP c/f"),(3713),IF(AND(M17&lt;=500,M17&gt;21,E17="Inspeccion ASP c/f"),(M17*120),IF(AND(M17&lt;=20,M17&gt;1,E17="Ext. Vida util ASP c/f"),(3229),IF(AND(M17&lt;=500,M17&gt;21,E17="Ext. Vida util ASP c/f"),(M17*246),IF(AND(M17&gt;500,E17="Ext. Vida util ASP c/f"),(153789),(0))))))</f>
        <v>0</v>
      </c>
      <c r="Z17" s="47">
        <v>0</v>
      </c>
      <c r="AA17" s="47">
        <v>0</v>
      </c>
      <c r="AB17" s="47">
        <f t="shared" si="2"/>
        <v>0</v>
      </c>
    </row>
    <row r="18" spans="1:28" ht="12.75" customHeight="1" x14ac:dyDescent="0.2">
      <c r="A18" s="47">
        <v>5</v>
      </c>
      <c r="B18" s="111"/>
      <c r="C18" s="112"/>
      <c r="D18" s="112"/>
      <c r="E18" s="92"/>
      <c r="F18" s="93"/>
      <c r="G18" s="62"/>
      <c r="H18" s="62"/>
      <c r="I18" s="115"/>
      <c r="J18" s="116"/>
      <c r="K18" s="97"/>
      <c r="L18" s="98"/>
      <c r="M18" s="47"/>
      <c r="N18" s="90"/>
      <c r="O18" s="91"/>
      <c r="V18" s="47">
        <f t="shared" si="3"/>
        <v>0</v>
      </c>
      <c r="W18" s="47">
        <f t="shared" si="0"/>
        <v>0</v>
      </c>
      <c r="X18" s="47">
        <f t="shared" si="1"/>
        <v>0</v>
      </c>
      <c r="Y18" s="47">
        <f t="shared" si="4"/>
        <v>0</v>
      </c>
      <c r="Z18" s="47">
        <v>0</v>
      </c>
      <c r="AA18" s="47">
        <v>0</v>
      </c>
      <c r="AB18" s="47">
        <f>V18+W18+X18+Y18+Z18+AA18</f>
        <v>0</v>
      </c>
    </row>
    <row r="19" spans="1:28" ht="12.75" customHeight="1" x14ac:dyDescent="0.2">
      <c r="A19" s="47">
        <v>6</v>
      </c>
      <c r="B19" s="111"/>
      <c r="C19" s="112"/>
      <c r="D19" s="112"/>
      <c r="E19" s="92"/>
      <c r="F19" s="93"/>
      <c r="G19" s="62"/>
      <c r="H19" s="62"/>
      <c r="I19" s="115"/>
      <c r="J19" s="116"/>
      <c r="K19" s="97"/>
      <c r="L19" s="98"/>
      <c r="M19" s="47"/>
      <c r="N19" s="90"/>
      <c r="O19" s="91"/>
      <c r="V19" s="47">
        <f t="shared" si="3"/>
        <v>0</v>
      </c>
      <c r="W19" s="47">
        <f t="shared" si="0"/>
        <v>0</v>
      </c>
      <c r="X19" s="47">
        <f t="shared" si="1"/>
        <v>0</v>
      </c>
      <c r="Y19" s="47">
        <f t="shared" si="4"/>
        <v>0</v>
      </c>
      <c r="Z19" s="47">
        <v>0</v>
      </c>
      <c r="AA19" s="47">
        <v>0</v>
      </c>
      <c r="AB19" s="47">
        <f t="shared" si="2"/>
        <v>0</v>
      </c>
    </row>
    <row r="20" spans="1:28" ht="12.75" customHeight="1" x14ac:dyDescent="0.2">
      <c r="A20" s="47">
        <v>7</v>
      </c>
      <c r="B20" s="111"/>
      <c r="C20" s="112"/>
      <c r="D20" s="112"/>
      <c r="E20" s="92"/>
      <c r="F20" s="93"/>
      <c r="G20" s="62"/>
      <c r="H20" s="62"/>
      <c r="I20" s="115"/>
      <c r="J20" s="116"/>
      <c r="K20" s="97"/>
      <c r="L20" s="98"/>
      <c r="M20" s="47"/>
      <c r="N20" s="90"/>
      <c r="O20" s="91"/>
      <c r="V20" s="47">
        <f t="shared" si="3"/>
        <v>0</v>
      </c>
      <c r="W20" s="47">
        <f t="shared" si="0"/>
        <v>0</v>
      </c>
      <c r="X20" s="47">
        <f t="shared" si="1"/>
        <v>0</v>
      </c>
      <c r="Y20" s="47">
        <f t="shared" si="4"/>
        <v>0</v>
      </c>
      <c r="Z20" s="47">
        <v>0</v>
      </c>
      <c r="AA20" s="47">
        <v>0</v>
      </c>
      <c r="AB20" s="47">
        <f t="shared" si="2"/>
        <v>0</v>
      </c>
    </row>
    <row r="21" spans="1:28" ht="12.75" customHeight="1" x14ac:dyDescent="0.2">
      <c r="A21" s="47">
        <v>8</v>
      </c>
      <c r="B21" s="111"/>
      <c r="C21" s="112"/>
      <c r="D21" s="112"/>
      <c r="E21" s="92"/>
      <c r="F21" s="93"/>
      <c r="G21" s="62"/>
      <c r="H21" s="62"/>
      <c r="I21" s="115"/>
      <c r="J21" s="116"/>
      <c r="K21" s="97"/>
      <c r="L21" s="98"/>
      <c r="M21" s="47"/>
      <c r="N21" s="90"/>
      <c r="O21" s="91"/>
      <c r="V21" s="47">
        <f t="shared" si="3"/>
        <v>0</v>
      </c>
      <c r="W21" s="47">
        <f t="shared" si="0"/>
        <v>0</v>
      </c>
      <c r="X21" s="47">
        <f t="shared" si="1"/>
        <v>0</v>
      </c>
      <c r="Y21" s="47">
        <f t="shared" si="4"/>
        <v>0</v>
      </c>
      <c r="Z21" s="47">
        <v>0</v>
      </c>
      <c r="AA21" s="47">
        <v>0</v>
      </c>
      <c r="AB21" s="47">
        <f t="shared" si="2"/>
        <v>0</v>
      </c>
    </row>
    <row r="22" spans="1:28" ht="12.75" customHeight="1" x14ac:dyDescent="0.2">
      <c r="A22" s="47">
        <v>9</v>
      </c>
      <c r="B22" s="111"/>
      <c r="C22" s="112"/>
      <c r="D22" s="112"/>
      <c r="E22" s="92"/>
      <c r="F22" s="93"/>
      <c r="G22" s="62"/>
      <c r="H22" s="62"/>
      <c r="I22" s="115"/>
      <c r="J22" s="116"/>
      <c r="K22" s="97"/>
      <c r="L22" s="98"/>
      <c r="M22" s="47"/>
      <c r="N22" s="90"/>
      <c r="O22" s="91"/>
      <c r="V22" s="47">
        <f t="shared" si="3"/>
        <v>0</v>
      </c>
      <c r="W22" s="47">
        <f t="shared" si="0"/>
        <v>0</v>
      </c>
      <c r="X22" s="47">
        <f t="shared" si="1"/>
        <v>0</v>
      </c>
      <c r="Y22" s="47">
        <f t="shared" si="4"/>
        <v>0</v>
      </c>
      <c r="Z22" s="47">
        <v>0</v>
      </c>
      <c r="AA22" s="47">
        <v>0</v>
      </c>
      <c r="AB22" s="47">
        <f t="shared" si="2"/>
        <v>0</v>
      </c>
    </row>
    <row r="23" spans="1:28" ht="12.75" customHeight="1" x14ac:dyDescent="0.2">
      <c r="A23" s="47">
        <v>10</v>
      </c>
      <c r="B23" s="111"/>
      <c r="C23" s="112"/>
      <c r="D23" s="112"/>
      <c r="E23" s="92"/>
      <c r="F23" s="93"/>
      <c r="G23" s="62"/>
      <c r="H23" s="62"/>
      <c r="I23" s="115"/>
      <c r="J23" s="116"/>
      <c r="K23" s="97"/>
      <c r="L23" s="98"/>
      <c r="M23" s="47"/>
      <c r="N23" s="90"/>
      <c r="O23" s="91"/>
      <c r="V23" s="47">
        <f t="shared" si="3"/>
        <v>0</v>
      </c>
      <c r="W23" s="47">
        <f t="shared" si="0"/>
        <v>0</v>
      </c>
      <c r="X23" s="47">
        <f t="shared" si="1"/>
        <v>0</v>
      </c>
      <c r="Y23" s="47">
        <f t="shared" si="4"/>
        <v>0</v>
      </c>
      <c r="Z23" s="47">
        <v>0</v>
      </c>
      <c r="AA23" s="47">
        <v>0</v>
      </c>
      <c r="AB23" s="47">
        <f t="shared" si="2"/>
        <v>0</v>
      </c>
    </row>
    <row r="24" spans="1:28" ht="12.75" customHeight="1" x14ac:dyDescent="0.2">
      <c r="A24" s="47">
        <v>11</v>
      </c>
      <c r="B24" s="111"/>
      <c r="C24" s="112"/>
      <c r="D24" s="112"/>
      <c r="E24" s="92"/>
      <c r="F24" s="93"/>
      <c r="G24" s="62"/>
      <c r="H24" s="62"/>
      <c r="I24" s="115"/>
      <c r="J24" s="116"/>
      <c r="K24" s="97"/>
      <c r="L24" s="98"/>
      <c r="M24" s="47"/>
      <c r="N24" s="90"/>
      <c r="O24" s="91"/>
      <c r="V24" s="47">
        <f t="shared" si="3"/>
        <v>0</v>
      </c>
      <c r="W24" s="47">
        <f t="shared" si="0"/>
        <v>0</v>
      </c>
      <c r="X24" s="47">
        <f t="shared" si="1"/>
        <v>0</v>
      </c>
      <c r="Y24" s="47">
        <f t="shared" si="4"/>
        <v>0</v>
      </c>
      <c r="Z24" s="47">
        <v>0</v>
      </c>
      <c r="AA24" s="47">
        <v>0</v>
      </c>
      <c r="AB24" s="47">
        <f t="shared" si="2"/>
        <v>0</v>
      </c>
    </row>
    <row r="25" spans="1:28" ht="12.75" customHeight="1" x14ac:dyDescent="0.2">
      <c r="A25" s="47">
        <v>12</v>
      </c>
      <c r="B25" s="111"/>
      <c r="C25" s="112"/>
      <c r="D25" s="112"/>
      <c r="E25" s="92"/>
      <c r="F25" s="93"/>
      <c r="G25" s="62"/>
      <c r="H25" s="62"/>
      <c r="I25" s="115"/>
      <c r="J25" s="116"/>
      <c r="K25" s="97"/>
      <c r="L25" s="98"/>
      <c r="M25" s="47"/>
      <c r="N25" s="90"/>
      <c r="O25" s="91"/>
      <c r="V25" s="47">
        <f t="shared" si="3"/>
        <v>0</v>
      </c>
      <c r="W25" s="47">
        <f t="shared" si="0"/>
        <v>0</v>
      </c>
      <c r="X25" s="47">
        <f t="shared" si="1"/>
        <v>0</v>
      </c>
      <c r="Y25" s="47">
        <f t="shared" si="4"/>
        <v>0</v>
      </c>
      <c r="Z25" s="47">
        <v>0</v>
      </c>
      <c r="AA25" s="47">
        <v>0</v>
      </c>
      <c r="AB25" s="47">
        <f t="shared" si="2"/>
        <v>0</v>
      </c>
    </row>
    <row r="26" spans="1:28" ht="12.75" customHeight="1" x14ac:dyDescent="0.2">
      <c r="A26" s="47">
        <v>13</v>
      </c>
      <c r="B26" s="111"/>
      <c r="C26" s="112"/>
      <c r="D26" s="112"/>
      <c r="E26" s="92"/>
      <c r="F26" s="93"/>
      <c r="G26" s="62"/>
      <c r="H26" s="62"/>
      <c r="I26" s="115"/>
      <c r="J26" s="116"/>
      <c r="K26" s="97"/>
      <c r="L26" s="98"/>
      <c r="M26" s="47"/>
      <c r="N26" s="90"/>
      <c r="O26" s="91"/>
      <c r="V26" s="47">
        <f t="shared" si="3"/>
        <v>0</v>
      </c>
      <c r="W26" s="47">
        <f t="shared" si="0"/>
        <v>0</v>
      </c>
      <c r="X26" s="47">
        <f t="shared" si="1"/>
        <v>0</v>
      </c>
      <c r="Y26" s="47">
        <f t="shared" si="4"/>
        <v>0</v>
      </c>
      <c r="Z26" s="47">
        <v>0</v>
      </c>
      <c r="AA26" s="47">
        <v>0</v>
      </c>
      <c r="AB26" s="47">
        <f t="shared" si="2"/>
        <v>0</v>
      </c>
    </row>
    <row r="27" spans="1:28" ht="12.75" customHeight="1" x14ac:dyDescent="0.2">
      <c r="A27" s="47">
        <v>14</v>
      </c>
      <c r="B27" s="111"/>
      <c r="C27" s="112"/>
      <c r="D27" s="112"/>
      <c r="E27" s="92"/>
      <c r="F27" s="93"/>
      <c r="G27" s="62"/>
      <c r="H27" s="62"/>
      <c r="I27" s="115"/>
      <c r="J27" s="116"/>
      <c r="K27" s="97"/>
      <c r="L27" s="98"/>
      <c r="M27" s="47"/>
      <c r="N27" s="90"/>
      <c r="O27" s="91"/>
      <c r="V27" s="47">
        <f t="shared" si="3"/>
        <v>0</v>
      </c>
      <c r="W27" s="47">
        <f t="shared" si="0"/>
        <v>0</v>
      </c>
      <c r="X27" s="47">
        <f t="shared" si="1"/>
        <v>0</v>
      </c>
      <c r="Y27" s="47">
        <f t="shared" si="4"/>
        <v>0</v>
      </c>
      <c r="Z27" s="47">
        <v>0</v>
      </c>
      <c r="AA27" s="47">
        <v>0</v>
      </c>
      <c r="AB27" s="47">
        <f t="shared" si="2"/>
        <v>0</v>
      </c>
    </row>
    <row r="28" spans="1:28" ht="12.75" customHeight="1" x14ac:dyDescent="0.2">
      <c r="A28" s="47">
        <v>15</v>
      </c>
      <c r="B28" s="111"/>
      <c r="C28" s="112"/>
      <c r="D28" s="112"/>
      <c r="E28" s="92"/>
      <c r="F28" s="93"/>
      <c r="G28" s="62"/>
      <c r="H28" s="62"/>
      <c r="I28" s="113"/>
      <c r="J28" s="114"/>
      <c r="K28" s="97"/>
      <c r="L28" s="98"/>
      <c r="M28" s="47"/>
      <c r="N28" s="90"/>
      <c r="O28" s="91"/>
      <c r="V28" s="47">
        <f t="shared" si="3"/>
        <v>0</v>
      </c>
      <c r="W28" s="47">
        <f t="shared" si="0"/>
        <v>0</v>
      </c>
      <c r="X28" s="47">
        <f t="shared" si="1"/>
        <v>0</v>
      </c>
      <c r="Y28" s="47">
        <f t="shared" si="4"/>
        <v>0</v>
      </c>
      <c r="Z28" s="47">
        <v>0</v>
      </c>
      <c r="AA28" s="47">
        <v>0</v>
      </c>
      <c r="AB28" s="47">
        <f t="shared" si="2"/>
        <v>0</v>
      </c>
    </row>
    <row r="29" spans="1:28" ht="12.75" customHeight="1" x14ac:dyDescent="0.2">
      <c r="A29" s="47">
        <v>16</v>
      </c>
      <c r="B29" s="111"/>
      <c r="C29" s="112"/>
      <c r="D29" s="112"/>
      <c r="E29" s="92"/>
      <c r="F29" s="93"/>
      <c r="G29" s="62"/>
      <c r="H29" s="62"/>
      <c r="I29" s="113"/>
      <c r="J29" s="114"/>
      <c r="K29" s="97"/>
      <c r="L29" s="98"/>
      <c r="M29" s="47"/>
      <c r="N29" s="90"/>
      <c r="O29" s="91"/>
      <c r="V29" s="47">
        <f t="shared" si="3"/>
        <v>0</v>
      </c>
      <c r="W29" s="47">
        <f t="shared" si="0"/>
        <v>0</v>
      </c>
      <c r="X29" s="47">
        <f t="shared" si="1"/>
        <v>0</v>
      </c>
      <c r="Y29" s="47">
        <f t="shared" si="4"/>
        <v>0</v>
      </c>
      <c r="Z29" s="47">
        <v>0</v>
      </c>
      <c r="AA29" s="47">
        <v>0</v>
      </c>
      <c r="AB29" s="47">
        <f t="shared" si="2"/>
        <v>0</v>
      </c>
    </row>
    <row r="30" spans="1:28" ht="12.75" customHeight="1" x14ac:dyDescent="0.2">
      <c r="A30" s="47">
        <v>17</v>
      </c>
      <c r="B30" s="111"/>
      <c r="C30" s="112"/>
      <c r="D30" s="112"/>
      <c r="E30" s="92"/>
      <c r="F30" s="93"/>
      <c r="G30" s="62"/>
      <c r="H30" s="62"/>
      <c r="I30" s="113"/>
      <c r="J30" s="114"/>
      <c r="K30" s="97"/>
      <c r="L30" s="98"/>
      <c r="M30" s="47"/>
      <c r="N30" s="90"/>
      <c r="O30" s="91"/>
      <c r="V30" s="47">
        <f t="shared" si="3"/>
        <v>0</v>
      </c>
      <c r="W30" s="47">
        <f t="shared" si="0"/>
        <v>0</v>
      </c>
      <c r="X30" s="47">
        <f t="shared" si="1"/>
        <v>0</v>
      </c>
      <c r="Y30" s="47">
        <f t="shared" si="4"/>
        <v>0</v>
      </c>
      <c r="Z30" s="47">
        <v>0</v>
      </c>
      <c r="AA30" s="47">
        <v>0</v>
      </c>
      <c r="AB30" s="47">
        <f t="shared" si="2"/>
        <v>0</v>
      </c>
    </row>
    <row r="31" spans="1:28" ht="12.75" customHeight="1" x14ac:dyDescent="0.2">
      <c r="A31" s="47">
        <v>18</v>
      </c>
      <c r="B31" s="110"/>
      <c r="C31" s="62"/>
      <c r="D31" s="62"/>
      <c r="E31" s="110"/>
      <c r="F31" s="62"/>
      <c r="G31" s="62"/>
      <c r="H31" s="62"/>
      <c r="I31" s="61"/>
      <c r="J31" s="61"/>
      <c r="K31" s="61"/>
      <c r="L31" s="61"/>
      <c r="M31" s="47"/>
      <c r="N31" s="90"/>
      <c r="O31" s="91"/>
      <c r="V31" s="47">
        <f t="shared" si="3"/>
        <v>0</v>
      </c>
      <c r="W31" s="47">
        <f t="shared" si="0"/>
        <v>0</v>
      </c>
      <c r="X31" s="47">
        <f t="shared" si="1"/>
        <v>0</v>
      </c>
      <c r="Y31" s="47">
        <f t="shared" si="4"/>
        <v>0</v>
      </c>
      <c r="Z31" s="47">
        <v>0</v>
      </c>
      <c r="AA31" s="47">
        <v>0</v>
      </c>
      <c r="AB31" s="47">
        <f t="shared" si="2"/>
        <v>0</v>
      </c>
    </row>
    <row r="32" spans="1:28" ht="12.75" customHeight="1" x14ac:dyDescent="0.2">
      <c r="A32" s="47">
        <v>19</v>
      </c>
      <c r="B32" s="110"/>
      <c r="C32" s="62"/>
      <c r="D32" s="62"/>
      <c r="E32" s="110"/>
      <c r="F32" s="62"/>
      <c r="G32" s="62"/>
      <c r="H32" s="62"/>
      <c r="I32" s="61"/>
      <c r="J32" s="61"/>
      <c r="K32" s="61"/>
      <c r="L32" s="61"/>
      <c r="M32" s="47"/>
      <c r="N32" s="90"/>
      <c r="O32" s="91"/>
      <c r="V32" s="47">
        <f t="shared" si="3"/>
        <v>0</v>
      </c>
      <c r="W32" s="47">
        <f t="shared" si="0"/>
        <v>0</v>
      </c>
      <c r="X32" s="47">
        <f t="shared" si="1"/>
        <v>0</v>
      </c>
      <c r="Y32" s="47">
        <f t="shared" si="4"/>
        <v>0</v>
      </c>
      <c r="Z32" s="47">
        <v>0</v>
      </c>
      <c r="AA32" s="47">
        <f t="shared" ref="AA32:AA52" si="5">IF(V32&gt;0,(7),(0))</f>
        <v>0</v>
      </c>
      <c r="AB32" s="47">
        <f t="shared" ref="AB32:AB52" si="6">V32+W32+X32+Y32+Z32+AA32</f>
        <v>0</v>
      </c>
    </row>
    <row r="33" spans="1:28" ht="12.75" customHeight="1" x14ac:dyDescent="0.2">
      <c r="A33" s="47">
        <v>20</v>
      </c>
      <c r="B33" s="110"/>
      <c r="C33" s="62"/>
      <c r="D33" s="62"/>
      <c r="E33" s="62"/>
      <c r="F33" s="62"/>
      <c r="G33" s="62"/>
      <c r="H33" s="62"/>
      <c r="I33" s="61"/>
      <c r="J33" s="61"/>
      <c r="K33" s="61"/>
      <c r="L33" s="61"/>
      <c r="M33" s="47"/>
      <c r="N33" s="90"/>
      <c r="O33" s="91"/>
      <c r="V33" s="47">
        <f t="shared" si="3"/>
        <v>0</v>
      </c>
      <c r="W33" s="47">
        <f t="shared" si="0"/>
        <v>0</v>
      </c>
      <c r="X33" s="47">
        <f t="shared" si="1"/>
        <v>0</v>
      </c>
      <c r="Y33" s="47">
        <f t="shared" si="4"/>
        <v>0</v>
      </c>
      <c r="Z33" s="47">
        <v>0</v>
      </c>
      <c r="AA33" s="47">
        <f t="shared" si="5"/>
        <v>0</v>
      </c>
      <c r="AB33" s="47">
        <f t="shared" si="6"/>
        <v>0</v>
      </c>
    </row>
    <row r="34" spans="1:28" x14ac:dyDescent="0.2">
      <c r="A34" s="47">
        <v>21</v>
      </c>
      <c r="B34" s="110"/>
      <c r="C34" s="62"/>
      <c r="D34" s="62"/>
      <c r="E34" s="62"/>
      <c r="F34" s="62"/>
      <c r="G34" s="62"/>
      <c r="H34" s="62"/>
      <c r="I34" s="61"/>
      <c r="J34" s="61"/>
      <c r="K34" s="61"/>
      <c r="L34" s="61"/>
      <c r="M34" s="47"/>
      <c r="N34" s="90"/>
      <c r="O34" s="91"/>
      <c r="V34" s="47">
        <f t="shared" si="3"/>
        <v>0</v>
      </c>
      <c r="W34" s="47">
        <f t="shared" si="0"/>
        <v>0</v>
      </c>
      <c r="X34" s="47">
        <f t="shared" si="1"/>
        <v>0</v>
      </c>
      <c r="Y34" s="47">
        <f t="shared" si="4"/>
        <v>0</v>
      </c>
      <c r="Z34" s="47">
        <v>0</v>
      </c>
      <c r="AA34" s="47">
        <f t="shared" si="5"/>
        <v>0</v>
      </c>
      <c r="AB34" s="47">
        <f t="shared" si="6"/>
        <v>0</v>
      </c>
    </row>
    <row r="35" spans="1:28" x14ac:dyDescent="0.2">
      <c r="A35" s="47">
        <v>22</v>
      </c>
      <c r="B35" s="110"/>
      <c r="C35" s="62"/>
      <c r="D35" s="62"/>
      <c r="E35" s="62"/>
      <c r="F35" s="62"/>
      <c r="G35" s="62"/>
      <c r="H35" s="62"/>
      <c r="I35" s="61"/>
      <c r="J35" s="61"/>
      <c r="K35" s="61"/>
      <c r="L35" s="61"/>
      <c r="M35" s="47"/>
      <c r="N35" s="90"/>
      <c r="O35" s="91"/>
      <c r="V35" s="47">
        <f t="shared" si="3"/>
        <v>0</v>
      </c>
      <c r="W35" s="47">
        <f t="shared" si="0"/>
        <v>0</v>
      </c>
      <c r="X35" s="47">
        <f t="shared" si="1"/>
        <v>0</v>
      </c>
      <c r="Y35" s="47">
        <f t="shared" si="4"/>
        <v>0</v>
      </c>
      <c r="Z35" s="47">
        <v>0</v>
      </c>
      <c r="AA35" s="47">
        <f t="shared" si="5"/>
        <v>0</v>
      </c>
      <c r="AB35" s="47">
        <f t="shared" si="6"/>
        <v>0</v>
      </c>
    </row>
    <row r="36" spans="1:28" x14ac:dyDescent="0.2">
      <c r="A36" s="47">
        <v>23</v>
      </c>
      <c r="B36" s="62"/>
      <c r="C36" s="62"/>
      <c r="D36" s="62"/>
      <c r="E36" s="62"/>
      <c r="F36" s="62"/>
      <c r="G36" s="62"/>
      <c r="H36" s="62"/>
      <c r="I36" s="61"/>
      <c r="J36" s="61"/>
      <c r="K36" s="61"/>
      <c r="L36" s="61"/>
      <c r="M36" s="47"/>
      <c r="N36" s="90"/>
      <c r="O36" s="91"/>
      <c r="V36" s="47">
        <f t="shared" si="3"/>
        <v>0</v>
      </c>
      <c r="W36" s="47">
        <f t="shared" si="0"/>
        <v>0</v>
      </c>
      <c r="X36" s="47">
        <f t="shared" si="1"/>
        <v>0</v>
      </c>
      <c r="Y36" s="47">
        <f t="shared" si="4"/>
        <v>0</v>
      </c>
      <c r="Z36" s="47">
        <v>0</v>
      </c>
      <c r="AA36" s="47">
        <f t="shared" si="5"/>
        <v>0</v>
      </c>
      <c r="AB36" s="47">
        <f t="shared" si="6"/>
        <v>0</v>
      </c>
    </row>
    <row r="37" spans="1:28" x14ac:dyDescent="0.2">
      <c r="A37" s="47">
        <v>24</v>
      </c>
      <c r="B37" s="62"/>
      <c r="C37" s="62"/>
      <c r="D37" s="62"/>
      <c r="E37" s="62"/>
      <c r="F37" s="62"/>
      <c r="G37" s="62"/>
      <c r="H37" s="62"/>
      <c r="I37" s="61"/>
      <c r="J37" s="61"/>
      <c r="K37" s="61"/>
      <c r="L37" s="61"/>
      <c r="M37" s="47"/>
      <c r="N37" s="90"/>
      <c r="O37" s="91"/>
      <c r="V37" s="47">
        <f t="shared" si="3"/>
        <v>0</v>
      </c>
      <c r="W37" s="47">
        <f t="shared" si="0"/>
        <v>0</v>
      </c>
      <c r="X37" s="47">
        <f t="shared" si="1"/>
        <v>0</v>
      </c>
      <c r="Y37" s="47">
        <f t="shared" si="4"/>
        <v>0</v>
      </c>
      <c r="Z37" s="47">
        <v>0</v>
      </c>
      <c r="AA37" s="47">
        <f t="shared" si="5"/>
        <v>0</v>
      </c>
      <c r="AB37" s="47">
        <f t="shared" si="6"/>
        <v>0</v>
      </c>
    </row>
    <row r="38" spans="1:28" x14ac:dyDescent="0.2">
      <c r="A38" s="47">
        <v>25</v>
      </c>
      <c r="B38" s="62"/>
      <c r="C38" s="62"/>
      <c r="D38" s="62"/>
      <c r="E38" s="62"/>
      <c r="F38" s="62"/>
      <c r="G38" s="62"/>
      <c r="H38" s="62"/>
      <c r="I38" s="61"/>
      <c r="J38" s="61"/>
      <c r="K38" s="61"/>
      <c r="L38" s="61"/>
      <c r="M38" s="47"/>
      <c r="N38" s="90"/>
      <c r="O38" s="91"/>
      <c r="V38" s="47">
        <f t="shared" si="3"/>
        <v>0</v>
      </c>
      <c r="W38" s="47">
        <f t="shared" si="0"/>
        <v>0</v>
      </c>
      <c r="X38" s="47">
        <f t="shared" si="1"/>
        <v>0</v>
      </c>
      <c r="Y38" s="47">
        <f t="shared" si="4"/>
        <v>0</v>
      </c>
      <c r="Z38" s="47">
        <v>0</v>
      </c>
      <c r="AA38" s="47">
        <f t="shared" si="5"/>
        <v>0</v>
      </c>
      <c r="AB38" s="47">
        <f t="shared" si="6"/>
        <v>0</v>
      </c>
    </row>
    <row r="39" spans="1:28" x14ac:dyDescent="0.2">
      <c r="A39" s="47">
        <v>26</v>
      </c>
      <c r="B39" s="62"/>
      <c r="C39" s="62"/>
      <c r="D39" s="62"/>
      <c r="E39" s="62"/>
      <c r="F39" s="62"/>
      <c r="G39" s="62"/>
      <c r="H39" s="62"/>
      <c r="I39" s="61"/>
      <c r="J39" s="61"/>
      <c r="K39" s="61"/>
      <c r="L39" s="61"/>
      <c r="M39" s="47"/>
      <c r="N39" s="90"/>
      <c r="O39" s="91"/>
      <c r="V39" s="47">
        <f t="shared" si="3"/>
        <v>0</v>
      </c>
      <c r="W39" s="47">
        <f t="shared" si="0"/>
        <v>0</v>
      </c>
      <c r="X39" s="47">
        <f t="shared" si="1"/>
        <v>0</v>
      </c>
      <c r="Y39" s="47">
        <f t="shared" si="4"/>
        <v>0</v>
      </c>
      <c r="Z39" s="47">
        <v>0</v>
      </c>
      <c r="AA39" s="47">
        <f t="shared" si="5"/>
        <v>0</v>
      </c>
      <c r="AB39" s="47">
        <f t="shared" si="6"/>
        <v>0</v>
      </c>
    </row>
    <row r="40" spans="1:28" x14ac:dyDescent="0.2">
      <c r="A40" s="47">
        <v>27</v>
      </c>
      <c r="B40" s="62"/>
      <c r="C40" s="62"/>
      <c r="D40" s="62"/>
      <c r="E40" s="62"/>
      <c r="F40" s="62"/>
      <c r="G40" s="62"/>
      <c r="H40" s="62"/>
      <c r="I40" s="61"/>
      <c r="J40" s="61"/>
      <c r="K40" s="61"/>
      <c r="L40" s="61"/>
      <c r="M40" s="47"/>
      <c r="N40" s="90"/>
      <c r="O40" s="91"/>
      <c r="V40" s="47">
        <f t="shared" si="3"/>
        <v>0</v>
      </c>
      <c r="W40" s="47">
        <f t="shared" si="0"/>
        <v>0</v>
      </c>
      <c r="X40" s="47">
        <f t="shared" si="1"/>
        <v>0</v>
      </c>
      <c r="Y40" s="47">
        <f t="shared" si="4"/>
        <v>0</v>
      </c>
      <c r="Z40" s="47">
        <v>0</v>
      </c>
      <c r="AA40" s="47">
        <f t="shared" si="5"/>
        <v>0</v>
      </c>
      <c r="AB40" s="47">
        <f t="shared" si="6"/>
        <v>0</v>
      </c>
    </row>
    <row r="41" spans="1:28" x14ac:dyDescent="0.2">
      <c r="A41" s="47">
        <v>28</v>
      </c>
      <c r="B41" s="62"/>
      <c r="C41" s="62"/>
      <c r="D41" s="62"/>
      <c r="E41" s="62"/>
      <c r="F41" s="62"/>
      <c r="G41" s="62"/>
      <c r="H41" s="62"/>
      <c r="I41" s="61"/>
      <c r="J41" s="61"/>
      <c r="K41" s="61"/>
      <c r="L41" s="61"/>
      <c r="M41" s="47"/>
      <c r="N41" s="90"/>
      <c r="O41" s="91"/>
      <c r="V41" s="47">
        <f t="shared" si="3"/>
        <v>0</v>
      </c>
      <c r="W41" s="47">
        <f t="shared" si="0"/>
        <v>0</v>
      </c>
      <c r="X41" s="47">
        <f t="shared" si="1"/>
        <v>0</v>
      </c>
      <c r="Y41" s="47">
        <f t="shared" si="4"/>
        <v>0</v>
      </c>
      <c r="Z41" s="47">
        <v>0</v>
      </c>
      <c r="AA41" s="47">
        <f t="shared" si="5"/>
        <v>0</v>
      </c>
      <c r="AB41" s="47">
        <f t="shared" si="6"/>
        <v>0</v>
      </c>
    </row>
    <row r="42" spans="1:28" x14ac:dyDescent="0.2">
      <c r="A42" s="47">
        <v>29</v>
      </c>
      <c r="B42" s="62"/>
      <c r="C42" s="62"/>
      <c r="D42" s="62"/>
      <c r="E42" s="62"/>
      <c r="F42" s="62"/>
      <c r="G42" s="62"/>
      <c r="H42" s="62"/>
      <c r="I42" s="61"/>
      <c r="J42" s="61"/>
      <c r="K42" s="61"/>
      <c r="L42" s="61"/>
      <c r="M42" s="47"/>
      <c r="N42" s="90"/>
      <c r="O42" s="91"/>
      <c r="V42" s="47">
        <f t="shared" si="3"/>
        <v>0</v>
      </c>
      <c r="W42" s="47">
        <f t="shared" si="0"/>
        <v>0</v>
      </c>
      <c r="X42" s="47">
        <f t="shared" si="1"/>
        <v>0</v>
      </c>
      <c r="Y42" s="47">
        <f t="shared" si="4"/>
        <v>0</v>
      </c>
      <c r="Z42" s="47">
        <v>0</v>
      </c>
      <c r="AA42" s="47">
        <f t="shared" si="5"/>
        <v>0</v>
      </c>
      <c r="AB42" s="47">
        <f t="shared" si="6"/>
        <v>0</v>
      </c>
    </row>
    <row r="43" spans="1:28" x14ac:dyDescent="0.2">
      <c r="A43" s="47">
        <v>30</v>
      </c>
      <c r="B43" s="62"/>
      <c r="C43" s="62"/>
      <c r="D43" s="62"/>
      <c r="E43" s="62"/>
      <c r="F43" s="62"/>
      <c r="G43" s="62"/>
      <c r="H43" s="62"/>
      <c r="I43" s="61"/>
      <c r="J43" s="61"/>
      <c r="K43" s="61"/>
      <c r="L43" s="61"/>
      <c r="M43" s="47"/>
      <c r="N43" s="90"/>
      <c r="O43" s="91"/>
      <c r="V43" s="47">
        <f t="shared" si="3"/>
        <v>0</v>
      </c>
      <c r="W43" s="47">
        <f t="shared" si="0"/>
        <v>0</v>
      </c>
      <c r="X43" s="47">
        <f t="shared" si="1"/>
        <v>0</v>
      </c>
      <c r="Y43" s="47">
        <f t="shared" si="4"/>
        <v>0</v>
      </c>
      <c r="Z43" s="47">
        <v>0</v>
      </c>
      <c r="AA43" s="47">
        <f t="shared" si="5"/>
        <v>0</v>
      </c>
      <c r="AB43" s="47">
        <f t="shared" si="6"/>
        <v>0</v>
      </c>
    </row>
    <row r="44" spans="1:28" x14ac:dyDescent="0.2">
      <c r="A44" s="47">
        <v>31</v>
      </c>
      <c r="B44" s="62"/>
      <c r="C44" s="62"/>
      <c r="D44" s="62"/>
      <c r="E44" s="62"/>
      <c r="F44" s="62"/>
      <c r="G44" s="62"/>
      <c r="H44" s="62"/>
      <c r="I44" s="61"/>
      <c r="J44" s="61"/>
      <c r="K44" s="61"/>
      <c r="L44" s="61"/>
      <c r="M44" s="47"/>
      <c r="N44" s="90"/>
      <c r="O44" s="91"/>
      <c r="V44" s="47">
        <f t="shared" si="3"/>
        <v>0</v>
      </c>
      <c r="W44" s="47">
        <f t="shared" si="0"/>
        <v>0</v>
      </c>
      <c r="X44" s="47">
        <f t="shared" si="1"/>
        <v>0</v>
      </c>
      <c r="Y44" s="47">
        <f t="shared" si="4"/>
        <v>0</v>
      </c>
      <c r="Z44" s="47">
        <v>0</v>
      </c>
      <c r="AA44" s="47">
        <f t="shared" si="5"/>
        <v>0</v>
      </c>
      <c r="AB44" s="47">
        <f t="shared" si="6"/>
        <v>0</v>
      </c>
    </row>
    <row r="45" spans="1:28" x14ac:dyDescent="0.2">
      <c r="A45" s="47">
        <v>32</v>
      </c>
      <c r="B45" s="62"/>
      <c r="C45" s="62"/>
      <c r="D45" s="62"/>
      <c r="E45" s="62"/>
      <c r="F45" s="62"/>
      <c r="G45" s="62"/>
      <c r="H45" s="62"/>
      <c r="I45" s="61"/>
      <c r="J45" s="61"/>
      <c r="K45" s="61"/>
      <c r="L45" s="61"/>
      <c r="M45" s="47"/>
      <c r="N45" s="90"/>
      <c r="O45" s="91"/>
      <c r="V45" s="47">
        <f t="shared" si="3"/>
        <v>0</v>
      </c>
      <c r="W45" s="47">
        <f t="shared" si="0"/>
        <v>0</v>
      </c>
      <c r="X45" s="47">
        <f t="shared" si="1"/>
        <v>0</v>
      </c>
      <c r="Y45" s="47">
        <f t="shared" si="4"/>
        <v>0</v>
      </c>
      <c r="Z45" s="47">
        <v>0</v>
      </c>
      <c r="AA45" s="47">
        <f t="shared" si="5"/>
        <v>0</v>
      </c>
      <c r="AB45" s="47">
        <f t="shared" si="6"/>
        <v>0</v>
      </c>
    </row>
    <row r="46" spans="1:28" x14ac:dyDescent="0.2">
      <c r="A46" s="47">
        <v>33</v>
      </c>
      <c r="B46" s="62"/>
      <c r="C46" s="62"/>
      <c r="D46" s="62"/>
      <c r="E46" s="62"/>
      <c r="F46" s="62"/>
      <c r="G46" s="62"/>
      <c r="H46" s="62"/>
      <c r="I46" s="61"/>
      <c r="J46" s="61"/>
      <c r="K46" s="61"/>
      <c r="L46" s="61"/>
      <c r="M46" s="47"/>
      <c r="N46" s="90"/>
      <c r="O46" s="91"/>
      <c r="V46" s="47">
        <f t="shared" si="3"/>
        <v>0</v>
      </c>
      <c r="W46" s="47">
        <f t="shared" si="0"/>
        <v>0</v>
      </c>
      <c r="X46" s="47">
        <f t="shared" si="1"/>
        <v>0</v>
      </c>
      <c r="Y46" s="47">
        <f t="shared" si="4"/>
        <v>0</v>
      </c>
      <c r="Z46" s="47">
        <v>0</v>
      </c>
      <c r="AA46" s="47">
        <f t="shared" si="5"/>
        <v>0</v>
      </c>
      <c r="AB46" s="47">
        <f t="shared" si="6"/>
        <v>0</v>
      </c>
    </row>
    <row r="47" spans="1:28" x14ac:dyDescent="0.2">
      <c r="A47" s="47">
        <v>34</v>
      </c>
      <c r="B47" s="62"/>
      <c r="C47" s="62"/>
      <c r="D47" s="62"/>
      <c r="E47" s="62"/>
      <c r="F47" s="62"/>
      <c r="G47" s="62"/>
      <c r="H47" s="62"/>
      <c r="I47" s="61"/>
      <c r="J47" s="61"/>
      <c r="K47" s="61"/>
      <c r="L47" s="61"/>
      <c r="M47" s="47"/>
      <c r="N47" s="90"/>
      <c r="O47" s="91"/>
      <c r="V47" s="47">
        <f t="shared" si="3"/>
        <v>0</v>
      </c>
      <c r="W47" s="47">
        <f t="shared" si="0"/>
        <v>0</v>
      </c>
      <c r="X47" s="47">
        <f t="shared" si="1"/>
        <v>0</v>
      </c>
      <c r="Y47" s="47">
        <f t="shared" si="4"/>
        <v>0</v>
      </c>
      <c r="Z47" s="47">
        <v>0</v>
      </c>
      <c r="AA47" s="47">
        <f t="shared" si="5"/>
        <v>0</v>
      </c>
      <c r="AB47" s="47">
        <f t="shared" si="6"/>
        <v>0</v>
      </c>
    </row>
    <row r="48" spans="1:28" x14ac:dyDescent="0.2">
      <c r="A48" s="47">
        <v>35</v>
      </c>
      <c r="B48" s="62"/>
      <c r="C48" s="62"/>
      <c r="D48" s="62"/>
      <c r="E48" s="62"/>
      <c r="F48" s="62"/>
      <c r="G48" s="62"/>
      <c r="H48" s="62"/>
      <c r="I48" s="61"/>
      <c r="J48" s="61"/>
      <c r="K48" s="61"/>
      <c r="L48" s="61"/>
      <c r="M48" s="47"/>
      <c r="N48" s="90"/>
      <c r="O48" s="91"/>
      <c r="V48" s="47">
        <f t="shared" si="3"/>
        <v>0</v>
      </c>
      <c r="W48" s="47">
        <f t="shared" si="0"/>
        <v>0</v>
      </c>
      <c r="X48" s="47">
        <f t="shared" si="1"/>
        <v>0</v>
      </c>
      <c r="Y48" s="47">
        <f t="shared" si="4"/>
        <v>0</v>
      </c>
      <c r="Z48" s="47">
        <v>0</v>
      </c>
      <c r="AA48" s="47">
        <f t="shared" si="5"/>
        <v>0</v>
      </c>
      <c r="AB48" s="47">
        <f t="shared" si="6"/>
        <v>0</v>
      </c>
    </row>
    <row r="49" spans="1:28" x14ac:dyDescent="0.2">
      <c r="A49" s="47">
        <v>36</v>
      </c>
      <c r="B49" s="62"/>
      <c r="C49" s="62"/>
      <c r="D49" s="62"/>
      <c r="E49" s="62"/>
      <c r="F49" s="62"/>
      <c r="G49" s="62"/>
      <c r="H49" s="62"/>
      <c r="I49" s="61"/>
      <c r="J49" s="61"/>
      <c r="K49" s="61"/>
      <c r="L49" s="61"/>
      <c r="M49" s="47"/>
      <c r="N49" s="90"/>
      <c r="O49" s="91"/>
      <c r="V49" s="47">
        <f t="shared" si="3"/>
        <v>0</v>
      </c>
      <c r="W49" s="47">
        <f t="shared" si="0"/>
        <v>0</v>
      </c>
      <c r="X49" s="47">
        <f t="shared" si="1"/>
        <v>0</v>
      </c>
      <c r="Y49" s="47">
        <f t="shared" si="4"/>
        <v>0</v>
      </c>
      <c r="Z49" s="47">
        <v>0</v>
      </c>
      <c r="AA49" s="47">
        <f t="shared" si="5"/>
        <v>0</v>
      </c>
      <c r="AB49" s="47">
        <f t="shared" si="6"/>
        <v>0</v>
      </c>
    </row>
    <row r="50" spans="1:28" x14ac:dyDescent="0.2">
      <c r="A50" s="47">
        <v>37</v>
      </c>
      <c r="B50" s="62"/>
      <c r="C50" s="62"/>
      <c r="D50" s="62"/>
      <c r="E50" s="62"/>
      <c r="F50" s="62"/>
      <c r="G50" s="62"/>
      <c r="H50" s="62"/>
      <c r="I50" s="61"/>
      <c r="J50" s="61"/>
      <c r="K50" s="61"/>
      <c r="L50" s="61"/>
      <c r="M50" s="47"/>
      <c r="N50" s="90"/>
      <c r="O50" s="91"/>
      <c r="V50" s="47">
        <f t="shared" si="3"/>
        <v>0</v>
      </c>
      <c r="W50" s="47">
        <f t="shared" si="0"/>
        <v>0</v>
      </c>
      <c r="X50" s="47">
        <f t="shared" si="1"/>
        <v>0</v>
      </c>
      <c r="Y50" s="47">
        <f t="shared" si="4"/>
        <v>0</v>
      </c>
      <c r="Z50" s="47">
        <v>0</v>
      </c>
      <c r="AA50" s="47">
        <f t="shared" si="5"/>
        <v>0</v>
      </c>
      <c r="AB50" s="47">
        <f t="shared" si="6"/>
        <v>0</v>
      </c>
    </row>
    <row r="51" spans="1:28" x14ac:dyDescent="0.2">
      <c r="A51" s="47">
        <v>38</v>
      </c>
      <c r="B51" s="62"/>
      <c r="C51" s="62"/>
      <c r="D51" s="62"/>
      <c r="E51" s="62"/>
      <c r="F51" s="62"/>
      <c r="G51" s="62"/>
      <c r="H51" s="62"/>
      <c r="I51" s="61"/>
      <c r="J51" s="61"/>
      <c r="K51" s="61"/>
      <c r="L51" s="61"/>
      <c r="M51" s="47"/>
      <c r="N51" s="90"/>
      <c r="O51" s="91"/>
      <c r="V51" s="47">
        <f t="shared" si="3"/>
        <v>0</v>
      </c>
      <c r="W51" s="47">
        <f t="shared" si="0"/>
        <v>0</v>
      </c>
      <c r="X51" s="47">
        <f t="shared" si="1"/>
        <v>0</v>
      </c>
      <c r="Y51" s="47">
        <f t="shared" si="4"/>
        <v>0</v>
      </c>
      <c r="Z51" s="47">
        <v>0</v>
      </c>
      <c r="AA51" s="47">
        <f t="shared" si="5"/>
        <v>0</v>
      </c>
      <c r="AB51" s="47">
        <f t="shared" si="6"/>
        <v>0</v>
      </c>
    </row>
    <row r="52" spans="1:28" x14ac:dyDescent="0.2">
      <c r="A52" s="47">
        <v>39</v>
      </c>
      <c r="B52" s="62"/>
      <c r="C52" s="62"/>
      <c r="D52" s="62"/>
      <c r="E52" s="62"/>
      <c r="F52" s="62"/>
      <c r="G52" s="62"/>
      <c r="H52" s="62"/>
      <c r="I52" s="61"/>
      <c r="J52" s="61"/>
      <c r="K52" s="61"/>
      <c r="L52" s="61"/>
      <c r="M52" s="47"/>
      <c r="N52" s="90"/>
      <c r="O52" s="91"/>
      <c r="P52" s="56" t="s">
        <v>86</v>
      </c>
      <c r="V52" s="47">
        <f t="shared" si="3"/>
        <v>0</v>
      </c>
      <c r="W52" s="47">
        <f t="shared" si="0"/>
        <v>0</v>
      </c>
      <c r="X52" s="47">
        <f t="shared" si="1"/>
        <v>0</v>
      </c>
      <c r="Y52" s="47">
        <f t="shared" si="4"/>
        <v>0</v>
      </c>
      <c r="Z52" s="47">
        <v>0</v>
      </c>
      <c r="AA52" s="47">
        <f t="shared" si="5"/>
        <v>0</v>
      </c>
      <c r="AB52" s="47">
        <f t="shared" si="6"/>
        <v>0</v>
      </c>
    </row>
    <row r="53" spans="1:28" x14ac:dyDescent="0.2">
      <c r="A53" s="109" t="s">
        <v>61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1">
        <f>SUM(N14:O52)</f>
        <v>636880.38910780521</v>
      </c>
      <c r="O53" s="61"/>
      <c r="AB53" s="48">
        <f>SUM(AB14:AB52)</f>
        <v>7587</v>
      </c>
    </row>
    <row r="54" spans="1:28" x14ac:dyDescent="0.2">
      <c r="A54" s="99"/>
      <c r="B54" s="78" t="s">
        <v>62</v>
      </c>
      <c r="C54" s="101"/>
      <c r="D54" s="101"/>
      <c r="E54" s="102"/>
      <c r="F54" s="106" t="s">
        <v>43</v>
      </c>
      <c r="G54" s="79"/>
      <c r="H54" s="107">
        <f>COUNTA(N14:O52)</f>
        <v>2</v>
      </c>
      <c r="I54" s="78" t="s">
        <v>63</v>
      </c>
      <c r="J54" s="79"/>
      <c r="K54" s="79"/>
      <c r="L54" s="79"/>
      <c r="M54" s="82">
        <f>IF(H54&lt;3,1,1.12*(H54)^(-1/8))</f>
        <v>1</v>
      </c>
      <c r="N54" s="84">
        <f>N53*M54</f>
        <v>636880.38910780521</v>
      </c>
      <c r="O54" s="85"/>
    </row>
    <row r="55" spans="1:28" x14ac:dyDescent="0.2">
      <c r="A55" s="100"/>
      <c r="B55" s="103"/>
      <c r="C55" s="104"/>
      <c r="D55" s="104"/>
      <c r="E55" s="105"/>
      <c r="F55" s="80"/>
      <c r="G55" s="81"/>
      <c r="H55" s="108"/>
      <c r="I55" s="80"/>
      <c r="J55" s="81"/>
      <c r="K55" s="81"/>
      <c r="L55" s="81"/>
      <c r="M55" s="83"/>
      <c r="N55" s="86"/>
      <c r="O55" s="87"/>
      <c r="Q55" s="49" t="s">
        <v>83</v>
      </c>
      <c r="R55" s="49" t="s">
        <v>81</v>
      </c>
      <c r="S55" s="49" t="s">
        <v>84</v>
      </c>
      <c r="T55" s="49" t="s">
        <v>82</v>
      </c>
    </row>
    <row r="56" spans="1:28" x14ac:dyDescent="0.2">
      <c r="A56" s="149" t="s">
        <v>64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88">
        <f>IF(N54&lt;225000,(225000),(ROUNDUP(N54,0)))</f>
        <v>636881</v>
      </c>
      <c r="O56" s="89"/>
      <c r="Q56" s="54">
        <f>N56/10</f>
        <v>63688.1</v>
      </c>
      <c r="R56" s="54">
        <f>Q56*0.12</f>
        <v>7642.5719999999992</v>
      </c>
      <c r="S56" s="54">
        <f>IF(Q56&gt;15600,(Q56/4),(3900))</f>
        <v>15922.025</v>
      </c>
      <c r="T56" s="51">
        <f>Q56+R56+S56</f>
        <v>87252.696999999986</v>
      </c>
      <c r="U56" s="52" t="s">
        <v>76</v>
      </c>
      <c r="V56" s="52"/>
    </row>
    <row r="57" spans="1:28" x14ac:dyDescent="0.2">
      <c r="T57" s="53"/>
      <c r="U57" s="43"/>
      <c r="V57" s="43"/>
    </row>
    <row r="58" spans="1:28" x14ac:dyDescent="0.2">
      <c r="A58" s="66" t="s">
        <v>65</v>
      </c>
      <c r="B58" s="67"/>
      <c r="C58" s="67"/>
      <c r="D58" s="67"/>
      <c r="E58" s="68"/>
      <c r="F58" s="66" t="s">
        <v>66</v>
      </c>
      <c r="G58" s="67"/>
      <c r="H58" s="67"/>
      <c r="I58" s="67"/>
      <c r="J58" s="67"/>
      <c r="K58" s="68"/>
      <c r="L58" s="75"/>
      <c r="M58" s="75"/>
      <c r="N58" s="75"/>
      <c r="O58" s="75"/>
      <c r="T58" s="51">
        <f>AB53</f>
        <v>7587</v>
      </c>
      <c r="U58" s="52" t="s">
        <v>75</v>
      </c>
      <c r="V58" s="52"/>
    </row>
    <row r="59" spans="1:28" x14ac:dyDescent="0.2">
      <c r="A59" s="69"/>
      <c r="B59" s="70"/>
      <c r="C59" s="70"/>
      <c r="D59" s="70"/>
      <c r="E59" s="71"/>
      <c r="F59" s="69"/>
      <c r="G59" s="70"/>
      <c r="H59" s="70"/>
      <c r="I59" s="70"/>
      <c r="J59" s="70"/>
      <c r="K59" s="71"/>
      <c r="L59" s="76"/>
      <c r="M59" s="76"/>
      <c r="N59" s="76"/>
      <c r="O59" s="76"/>
      <c r="T59" s="49"/>
      <c r="U59" s="43"/>
      <c r="V59" s="43"/>
    </row>
    <row r="60" spans="1:28" x14ac:dyDescent="0.2">
      <c r="A60" s="69"/>
      <c r="B60" s="70"/>
      <c r="C60" s="70"/>
      <c r="D60" s="70"/>
      <c r="E60" s="71"/>
      <c r="F60" s="69"/>
      <c r="G60" s="70"/>
      <c r="H60" s="70"/>
      <c r="I60" s="70"/>
      <c r="J60" s="70"/>
      <c r="K60" s="71"/>
      <c r="L60" s="76"/>
      <c r="M60" s="76"/>
      <c r="N60" s="76"/>
      <c r="O60" s="76"/>
      <c r="T60" s="51">
        <v>0</v>
      </c>
      <c r="U60" s="52" t="s">
        <v>77</v>
      </c>
      <c r="V60" s="52"/>
    </row>
    <row r="61" spans="1:28" x14ac:dyDescent="0.2">
      <c r="A61" s="72"/>
      <c r="B61" s="73"/>
      <c r="C61" s="73"/>
      <c r="D61" s="73"/>
      <c r="E61" s="74"/>
      <c r="F61" s="72"/>
      <c r="G61" s="73"/>
      <c r="H61" s="73"/>
      <c r="I61" s="73"/>
      <c r="J61" s="73"/>
      <c r="K61" s="74"/>
      <c r="L61" s="77"/>
      <c r="M61" s="77"/>
      <c r="N61" s="77"/>
      <c r="O61" s="77"/>
      <c r="T61" s="50"/>
    </row>
    <row r="62" spans="1:28" x14ac:dyDescent="0.2">
      <c r="T62" s="51">
        <f>T56+T58+T60</f>
        <v>94839.696999999986</v>
      </c>
      <c r="U62" s="52" t="s">
        <v>74</v>
      </c>
      <c r="V62" s="52"/>
    </row>
  </sheetData>
  <mergeCells count="267">
    <mergeCell ref="K19:L19"/>
    <mergeCell ref="G19:H19"/>
    <mergeCell ref="I19:J19"/>
    <mergeCell ref="G18:H18"/>
    <mergeCell ref="B16:D16"/>
    <mergeCell ref="I16:J16"/>
    <mergeCell ref="K16:L16"/>
    <mergeCell ref="N17:O17"/>
    <mergeCell ref="N18:O18"/>
    <mergeCell ref="N16:O16"/>
    <mergeCell ref="E17:F17"/>
    <mergeCell ref="E16:F16"/>
    <mergeCell ref="G16:H16"/>
    <mergeCell ref="I17:J17"/>
    <mergeCell ref="G17:H17"/>
    <mergeCell ref="B19:D19"/>
    <mergeCell ref="I18:J18"/>
    <mergeCell ref="B17:D17"/>
    <mergeCell ref="B18:D18"/>
    <mergeCell ref="A5:E5"/>
    <mergeCell ref="A6:E6"/>
    <mergeCell ref="A7:E7"/>
    <mergeCell ref="A8:E8"/>
    <mergeCell ref="I12:J13"/>
    <mergeCell ref="N15:O15"/>
    <mergeCell ref="G14:H14"/>
    <mergeCell ref="I14:J14"/>
    <mergeCell ref="K14:L14"/>
    <mergeCell ref="B14:D14"/>
    <mergeCell ref="E15:F15"/>
    <mergeCell ref="B15:D15"/>
    <mergeCell ref="I15:J15"/>
    <mergeCell ref="K15:L15"/>
    <mergeCell ref="G15:H15"/>
    <mergeCell ref="E14:F14"/>
    <mergeCell ref="A9:O10"/>
    <mergeCell ref="K12:L13"/>
    <mergeCell ref="M12:M13"/>
    <mergeCell ref="A11:O11"/>
    <mergeCell ref="A12:A13"/>
    <mergeCell ref="B12:D13"/>
    <mergeCell ref="E12:F13"/>
    <mergeCell ref="G12:H13"/>
    <mergeCell ref="E21:F21"/>
    <mergeCell ref="E20:F20"/>
    <mergeCell ref="B21:D21"/>
    <mergeCell ref="G21:H21"/>
    <mergeCell ref="I21:J21"/>
    <mergeCell ref="B20:D20"/>
    <mergeCell ref="N20:O20"/>
    <mergeCell ref="N21:O21"/>
    <mergeCell ref="G20:H20"/>
    <mergeCell ref="I20:J20"/>
    <mergeCell ref="K20:L20"/>
    <mergeCell ref="K21:L21"/>
    <mergeCell ref="N23:O23"/>
    <mergeCell ref="E22:F22"/>
    <mergeCell ref="E23:F23"/>
    <mergeCell ref="K22:L22"/>
    <mergeCell ref="K23:L23"/>
    <mergeCell ref="G23:H23"/>
    <mergeCell ref="I23:J23"/>
    <mergeCell ref="G22:H22"/>
    <mergeCell ref="I22:J22"/>
    <mergeCell ref="N22:O22"/>
    <mergeCell ref="B22:D22"/>
    <mergeCell ref="B25:D25"/>
    <mergeCell ref="E25:F25"/>
    <mergeCell ref="G25:H25"/>
    <mergeCell ref="I25:J25"/>
    <mergeCell ref="B24:D24"/>
    <mergeCell ref="E24:F24"/>
    <mergeCell ref="G24:H24"/>
    <mergeCell ref="I24:J24"/>
    <mergeCell ref="B23:D23"/>
    <mergeCell ref="K24:L24"/>
    <mergeCell ref="N24:O24"/>
    <mergeCell ref="K25:L25"/>
    <mergeCell ref="N25:O25"/>
    <mergeCell ref="K26:L26"/>
    <mergeCell ref="N26:O26"/>
    <mergeCell ref="K27:L27"/>
    <mergeCell ref="N27:O27"/>
    <mergeCell ref="B26:D26"/>
    <mergeCell ref="E26:F26"/>
    <mergeCell ref="B27:D27"/>
    <mergeCell ref="E27:F27"/>
    <mergeCell ref="G27:H27"/>
    <mergeCell ref="I27:J27"/>
    <mergeCell ref="G26:H26"/>
    <mergeCell ref="I26:J26"/>
    <mergeCell ref="N28:O28"/>
    <mergeCell ref="K29:L29"/>
    <mergeCell ref="N29:O29"/>
    <mergeCell ref="K30:L30"/>
    <mergeCell ref="N30:O30"/>
    <mergeCell ref="K31:L31"/>
    <mergeCell ref="N31:O31"/>
    <mergeCell ref="B30:D30"/>
    <mergeCell ref="B31:D31"/>
    <mergeCell ref="E31:F31"/>
    <mergeCell ref="G31:H31"/>
    <mergeCell ref="I31:J31"/>
    <mergeCell ref="G30:H30"/>
    <mergeCell ref="I30:J30"/>
    <mergeCell ref="E30:F30"/>
    <mergeCell ref="B29:D29"/>
    <mergeCell ref="E29:F29"/>
    <mergeCell ref="G29:H29"/>
    <mergeCell ref="I29:J29"/>
    <mergeCell ref="B28:D28"/>
    <mergeCell ref="E28:F28"/>
    <mergeCell ref="G28:H28"/>
    <mergeCell ref="I28:J28"/>
    <mergeCell ref="K28:L28"/>
    <mergeCell ref="N32:O32"/>
    <mergeCell ref="K33:L33"/>
    <mergeCell ref="N33:O33"/>
    <mergeCell ref="K34:L34"/>
    <mergeCell ref="N34:O34"/>
    <mergeCell ref="K35:L35"/>
    <mergeCell ref="N35:O35"/>
    <mergeCell ref="B34:D34"/>
    <mergeCell ref="E34:F34"/>
    <mergeCell ref="B35:D35"/>
    <mergeCell ref="E35:F35"/>
    <mergeCell ref="G35:H35"/>
    <mergeCell ref="I35:J35"/>
    <mergeCell ref="G34:H34"/>
    <mergeCell ref="I34:J34"/>
    <mergeCell ref="B33:D33"/>
    <mergeCell ref="E33:F33"/>
    <mergeCell ref="G33:H33"/>
    <mergeCell ref="I33:J33"/>
    <mergeCell ref="B32:D32"/>
    <mergeCell ref="E32:F32"/>
    <mergeCell ref="G32:H32"/>
    <mergeCell ref="I32:J32"/>
    <mergeCell ref="K32:L32"/>
    <mergeCell ref="N36:O36"/>
    <mergeCell ref="K37:L37"/>
    <mergeCell ref="N37:O37"/>
    <mergeCell ref="K38:L38"/>
    <mergeCell ref="N38:O38"/>
    <mergeCell ref="K39:L39"/>
    <mergeCell ref="N39:O39"/>
    <mergeCell ref="B38:D38"/>
    <mergeCell ref="E38:F38"/>
    <mergeCell ref="B39:D39"/>
    <mergeCell ref="E39:F39"/>
    <mergeCell ref="G39:H39"/>
    <mergeCell ref="I39:J39"/>
    <mergeCell ref="G38:H38"/>
    <mergeCell ref="I38:J38"/>
    <mergeCell ref="B37:D37"/>
    <mergeCell ref="E37:F37"/>
    <mergeCell ref="G37:H37"/>
    <mergeCell ref="I37:J37"/>
    <mergeCell ref="B36:D36"/>
    <mergeCell ref="E36:F36"/>
    <mergeCell ref="G36:H36"/>
    <mergeCell ref="I36:J36"/>
    <mergeCell ref="K36:L36"/>
    <mergeCell ref="N40:O40"/>
    <mergeCell ref="K41:L41"/>
    <mergeCell ref="N41:O41"/>
    <mergeCell ref="K42:L42"/>
    <mergeCell ref="N42:O42"/>
    <mergeCell ref="K43:L43"/>
    <mergeCell ref="N43:O43"/>
    <mergeCell ref="B42:D42"/>
    <mergeCell ref="E42:F42"/>
    <mergeCell ref="B43:D43"/>
    <mergeCell ref="E43:F43"/>
    <mergeCell ref="G43:H43"/>
    <mergeCell ref="I43:J43"/>
    <mergeCell ref="G42:H42"/>
    <mergeCell ref="I42:J42"/>
    <mergeCell ref="B41:D41"/>
    <mergeCell ref="E41:F41"/>
    <mergeCell ref="G41:H41"/>
    <mergeCell ref="I41:J41"/>
    <mergeCell ref="B40:D40"/>
    <mergeCell ref="E40:F40"/>
    <mergeCell ref="G40:H40"/>
    <mergeCell ref="I40:J40"/>
    <mergeCell ref="K40:L40"/>
    <mergeCell ref="N44:O44"/>
    <mergeCell ref="K45:L45"/>
    <mergeCell ref="N45:O45"/>
    <mergeCell ref="K46:L46"/>
    <mergeCell ref="N46:O46"/>
    <mergeCell ref="K47:L47"/>
    <mergeCell ref="N47:O47"/>
    <mergeCell ref="B46:D46"/>
    <mergeCell ref="E46:F46"/>
    <mergeCell ref="B47:D47"/>
    <mergeCell ref="E47:F47"/>
    <mergeCell ref="G47:H47"/>
    <mergeCell ref="I47:J47"/>
    <mergeCell ref="G46:H46"/>
    <mergeCell ref="I46:J46"/>
    <mergeCell ref="B45:D45"/>
    <mergeCell ref="E45:F45"/>
    <mergeCell ref="G45:H45"/>
    <mergeCell ref="I45:J45"/>
    <mergeCell ref="B44:D44"/>
    <mergeCell ref="E44:F44"/>
    <mergeCell ref="G44:H44"/>
    <mergeCell ref="I44:J44"/>
    <mergeCell ref="K44:L44"/>
    <mergeCell ref="B49:D49"/>
    <mergeCell ref="E49:F49"/>
    <mergeCell ref="G49:H49"/>
    <mergeCell ref="I49:J49"/>
    <mergeCell ref="B48:D48"/>
    <mergeCell ref="E48:F48"/>
    <mergeCell ref="G48:H48"/>
    <mergeCell ref="I48:J48"/>
    <mergeCell ref="G50:H50"/>
    <mergeCell ref="I50:J50"/>
    <mergeCell ref="B50:D50"/>
    <mergeCell ref="E50:F50"/>
    <mergeCell ref="K48:L48"/>
    <mergeCell ref="N48:O48"/>
    <mergeCell ref="K49:L49"/>
    <mergeCell ref="N49:O49"/>
    <mergeCell ref="K50:L50"/>
    <mergeCell ref="N50:O50"/>
    <mergeCell ref="G52:H52"/>
    <mergeCell ref="I52:J52"/>
    <mergeCell ref="K51:L51"/>
    <mergeCell ref="N51:O51"/>
    <mergeCell ref="N52:O52"/>
    <mergeCell ref="E51:F51"/>
    <mergeCell ref="G51:H51"/>
    <mergeCell ref="I51:J51"/>
    <mergeCell ref="A54:A55"/>
    <mergeCell ref="B54:E55"/>
    <mergeCell ref="F54:G55"/>
    <mergeCell ref="H54:H55"/>
    <mergeCell ref="K52:L52"/>
    <mergeCell ref="A53:M53"/>
    <mergeCell ref="N53:O53"/>
    <mergeCell ref="B52:D52"/>
    <mergeCell ref="E52:F52"/>
    <mergeCell ref="AB12:AB13"/>
    <mergeCell ref="N12:O13"/>
    <mergeCell ref="A58:E61"/>
    <mergeCell ref="F58:K61"/>
    <mergeCell ref="L58:O61"/>
    <mergeCell ref="I54:L55"/>
    <mergeCell ref="M54:M55"/>
    <mergeCell ref="N54:O55"/>
    <mergeCell ref="A56:M56"/>
    <mergeCell ref="N56:O56"/>
    <mergeCell ref="N14:O14"/>
    <mergeCell ref="E19:F19"/>
    <mergeCell ref="V12:V13"/>
    <mergeCell ref="W12:Y13"/>
    <mergeCell ref="Z12:Z13"/>
    <mergeCell ref="AA12:AA13"/>
    <mergeCell ref="N19:O19"/>
    <mergeCell ref="E18:F18"/>
    <mergeCell ref="K17:L17"/>
    <mergeCell ref="K18:L18"/>
    <mergeCell ref="B51:D51"/>
  </mergeCells>
  <phoneticPr fontId="8" type="noConversion"/>
  <dataValidations disablePrompts="1" count="1">
    <dataValidation type="list" allowBlank="1" showInputMessage="1" showErrorMessage="1" sqref="E14:F32" xr:uid="{00000000-0002-0000-0000-000000000000}">
      <formula1>$S$11:$S$17</formula1>
    </dataValidation>
  </dataValidations>
  <pageMargins left="0.75" right="0.75" top="1" bottom="1" header="0.5" footer="0.5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3"/>
  <dimension ref="A2:I85"/>
  <sheetViews>
    <sheetView showGridLines="0" topLeftCell="A28" workbookViewId="0">
      <selection activeCell="D77" sqref="D77"/>
    </sheetView>
  </sheetViews>
  <sheetFormatPr baseColWidth="10" defaultRowHeight="12.75" x14ac:dyDescent="0.2"/>
  <cols>
    <col min="1" max="1" width="10.7109375" customWidth="1"/>
    <col min="2" max="2" width="13.7109375" customWidth="1"/>
    <col min="3" max="3" width="14.7109375" customWidth="1"/>
    <col min="4" max="4" width="11.42578125" customWidth="1"/>
    <col min="5" max="5" width="12.7109375" customWidth="1"/>
    <col min="6" max="6" width="12.7109375" style="3" customWidth="1"/>
    <col min="7" max="7" width="11.42578125" customWidth="1"/>
    <col min="8" max="8" width="15.7109375" customWidth="1"/>
  </cols>
  <sheetData>
    <row r="2" spans="1:9" x14ac:dyDescent="0.2">
      <c r="B2" s="1" t="s">
        <v>8</v>
      </c>
      <c r="F2" s="3" t="s">
        <v>9</v>
      </c>
    </row>
    <row r="4" spans="1:9" x14ac:dyDescent="0.2">
      <c r="C4" s="133" t="s">
        <v>44</v>
      </c>
      <c r="D4" s="134"/>
      <c r="E4" s="137">
        <v>2.58</v>
      </c>
      <c r="F4" s="139" t="s">
        <v>42</v>
      </c>
      <c r="G4" s="141">
        <v>6.4000000000000001E-2</v>
      </c>
    </row>
    <row r="5" spans="1:9" x14ac:dyDescent="0.2">
      <c r="C5" s="135"/>
      <c r="D5" s="136"/>
      <c r="E5" s="138"/>
      <c r="F5" s="140"/>
      <c r="G5" s="142"/>
    </row>
    <row r="6" spans="1:9" ht="15.75" x14ac:dyDescent="0.2">
      <c r="F6" s="26"/>
      <c r="G6" s="21"/>
    </row>
    <row r="7" spans="1:9" x14ac:dyDescent="0.2">
      <c r="A7" s="6" t="s">
        <v>10</v>
      </c>
      <c r="B7" s="1" t="s">
        <v>11</v>
      </c>
      <c r="G7" s="16">
        <v>670</v>
      </c>
      <c r="H7" s="27"/>
      <c r="I7" s="2"/>
    </row>
    <row r="8" spans="1:9" x14ac:dyDescent="0.2">
      <c r="A8" s="9"/>
    </row>
    <row r="9" spans="1:9" x14ac:dyDescent="0.2">
      <c r="A9" s="6" t="s">
        <v>15</v>
      </c>
      <c r="B9" s="1" t="s">
        <v>14</v>
      </c>
    </row>
    <row r="10" spans="1:9" ht="6.95" customHeight="1" x14ac:dyDescent="0.2">
      <c r="A10" s="9"/>
    </row>
    <row r="11" spans="1:9" x14ac:dyDescent="0.2">
      <c r="B11" t="s">
        <v>13</v>
      </c>
    </row>
    <row r="12" spans="1:9" ht="6.95" customHeight="1" x14ac:dyDescent="0.2"/>
    <row r="13" spans="1:9" x14ac:dyDescent="0.2">
      <c r="B13" t="s">
        <v>0</v>
      </c>
      <c r="D13" s="143">
        <v>10240000</v>
      </c>
      <c r="E13" s="143"/>
      <c r="F13"/>
    </row>
    <row r="14" spans="1:9" x14ac:dyDescent="0.2">
      <c r="E14" t="s">
        <v>40</v>
      </c>
      <c r="F14"/>
    </row>
    <row r="15" spans="1:9" x14ac:dyDescent="0.2">
      <c r="B15" s="1"/>
      <c r="C15" s="1" t="s">
        <v>6</v>
      </c>
      <c r="F15"/>
    </row>
    <row r="16" spans="1:9" x14ac:dyDescent="0.2">
      <c r="B16" s="1"/>
      <c r="F16"/>
    </row>
    <row r="17" spans="1:8" x14ac:dyDescent="0.2">
      <c r="B17" s="3" t="s">
        <v>1</v>
      </c>
      <c r="C17" s="3" t="s">
        <v>2</v>
      </c>
      <c r="D17" s="3" t="s">
        <v>3</v>
      </c>
      <c r="E17" s="3" t="s">
        <v>1</v>
      </c>
      <c r="F17" s="3" t="s">
        <v>2</v>
      </c>
    </row>
    <row r="18" spans="1:8" x14ac:dyDescent="0.2">
      <c r="B18" s="7">
        <f>1000000*G4</f>
        <v>64000</v>
      </c>
      <c r="C18" s="7">
        <f>B18</f>
        <v>64000</v>
      </c>
      <c r="D18" s="5">
        <v>5</v>
      </c>
      <c r="E18" s="4">
        <f>IF(AND(D13&lt;=C18),(D13)*D18%,IF(D13&gt;C18,(C18*D18%),0))</f>
        <v>3200</v>
      </c>
      <c r="F18" s="4">
        <f>E18</f>
        <v>3200</v>
      </c>
    </row>
    <row r="19" spans="1:8" x14ac:dyDescent="0.2">
      <c r="B19" s="7">
        <f>(5000000-1000000)*G4</f>
        <v>256000</v>
      </c>
      <c r="C19" s="7">
        <f>5000000*G4</f>
        <v>320000</v>
      </c>
      <c r="D19" s="5">
        <v>4</v>
      </c>
      <c r="E19" s="4">
        <f>IF(AND(D13&lt;=C19,D13&gt;=C18),(D13-C18)*D19%,IF(D13&gt;C19,(B19*D19%),0))</f>
        <v>10240</v>
      </c>
      <c r="F19" s="4">
        <f t="shared" ref="F19:F25" si="0">IF(E19&gt;0,(E19+F18),0)</f>
        <v>13440</v>
      </c>
    </row>
    <row r="20" spans="1:8" x14ac:dyDescent="0.2">
      <c r="B20" s="7">
        <f>(10000000-5000000)*G4</f>
        <v>320000</v>
      </c>
      <c r="C20" s="7">
        <f>10000000*G4</f>
        <v>640000</v>
      </c>
      <c r="D20" s="5">
        <v>3</v>
      </c>
      <c r="E20" s="4">
        <f>IF(AND(D13&lt;=C20,D13&gt;=C19),(D13-C19)*D20%,IF(D13&gt;C20,(B20*D20%),0))</f>
        <v>9600</v>
      </c>
      <c r="F20" s="4">
        <f t="shared" si="0"/>
        <v>23040</v>
      </c>
    </row>
    <row r="21" spans="1:8" x14ac:dyDescent="0.2">
      <c r="B21" s="7">
        <f>(20000000-10000000)*G4</f>
        <v>640000</v>
      </c>
      <c r="C21" s="7">
        <f>20000000*G4</f>
        <v>1280000</v>
      </c>
      <c r="D21" s="5">
        <v>2.5</v>
      </c>
      <c r="E21" s="4">
        <f>IF(AND(D13&lt;=C21,D13&gt;=C20),(D13-C20)*D21%,IF(D13&gt;C21,(B21*D21%),0))</f>
        <v>16000</v>
      </c>
      <c r="F21" s="4">
        <f t="shared" si="0"/>
        <v>39040</v>
      </c>
    </row>
    <row r="22" spans="1:8" x14ac:dyDescent="0.2">
      <c r="B22" s="7">
        <f>(40000000-20000000)*G4</f>
        <v>1280000</v>
      </c>
      <c r="C22" s="7">
        <f>40000000*G4</f>
        <v>2560000</v>
      </c>
      <c r="D22" s="5">
        <v>2</v>
      </c>
      <c r="E22" s="4">
        <f>IF(AND(D13&lt;=C22,D13&gt;=C21),(D13-C21)*D22%,IF(D13&gt;C22,(B22*D22%),0))</f>
        <v>25600</v>
      </c>
      <c r="F22" s="4">
        <f t="shared" si="0"/>
        <v>64640</v>
      </c>
    </row>
    <row r="23" spans="1:8" x14ac:dyDescent="0.2">
      <c r="B23" s="7">
        <f>(80000000-40000000)*G4</f>
        <v>2560000</v>
      </c>
      <c r="C23" s="7">
        <f>80000000*G4</f>
        <v>5120000</v>
      </c>
      <c r="D23" s="5">
        <v>1.5</v>
      </c>
      <c r="E23" s="4">
        <f>IF(AND(D13&lt;=C23,D13&gt;=C22),(D13-C22)*D23%,IF(D13&gt;C23,(B23*D23%),0))</f>
        <v>38400</v>
      </c>
      <c r="F23" s="4">
        <f t="shared" si="0"/>
        <v>103040</v>
      </c>
    </row>
    <row r="24" spans="1:8" x14ac:dyDescent="0.2">
      <c r="B24" s="7">
        <f>(160000000-80000000)*G4</f>
        <v>5120000</v>
      </c>
      <c r="C24" s="7">
        <f>160000000*G4</f>
        <v>10240000</v>
      </c>
      <c r="D24" s="5">
        <v>1</v>
      </c>
      <c r="E24" s="4">
        <f>IF(AND(D13&lt;=C24,D13&gt;=C23),(D13-C23)*D24%,IF(D13&gt;C24,(B24*D24%),0))</f>
        <v>51200</v>
      </c>
      <c r="F24" s="4">
        <f t="shared" si="0"/>
        <v>154240</v>
      </c>
    </row>
    <row r="25" spans="1:8" x14ac:dyDescent="0.2">
      <c r="B25" s="4" t="s">
        <v>4</v>
      </c>
      <c r="C25" s="8">
        <f>D13-C24</f>
        <v>0</v>
      </c>
      <c r="D25" s="5">
        <v>0.5</v>
      </c>
      <c r="E25" s="4">
        <f>IF(D13&gt;C24,C25*D25%,0)</f>
        <v>0</v>
      </c>
      <c r="F25" s="22">
        <f t="shared" si="0"/>
        <v>0</v>
      </c>
    </row>
    <row r="26" spans="1:8" x14ac:dyDescent="0.2">
      <c r="E26" s="4"/>
      <c r="F26" s="4"/>
    </row>
    <row r="27" spans="1:8" x14ac:dyDescent="0.2">
      <c r="E27" s="6" t="s">
        <v>5</v>
      </c>
      <c r="F27" s="19">
        <f>MAX(F18:F25)</f>
        <v>154240</v>
      </c>
    </row>
    <row r="29" spans="1:8" x14ac:dyDescent="0.2">
      <c r="A29" s="6" t="s">
        <v>12</v>
      </c>
      <c r="B29" s="1" t="s">
        <v>21</v>
      </c>
    </row>
    <row r="30" spans="1:8" x14ac:dyDescent="0.2">
      <c r="B30" t="s">
        <v>16</v>
      </c>
    </row>
    <row r="32" spans="1:8" ht="12" customHeight="1" x14ac:dyDescent="0.2">
      <c r="B32" s="144" t="s">
        <v>17</v>
      </c>
      <c r="C32" s="144"/>
      <c r="D32" s="20">
        <v>8</v>
      </c>
      <c r="E32" s="6" t="s">
        <v>20</v>
      </c>
      <c r="F32" s="23">
        <v>1</v>
      </c>
      <c r="G32" s="11" t="s">
        <v>7</v>
      </c>
      <c r="H32" s="145">
        <f>((155+21*(D32*D34)^(1/3))*F34)*E4</f>
        <v>670.07566499228983</v>
      </c>
    </row>
    <row r="33" spans="1:8" ht="12.75" customHeight="1" x14ac:dyDescent="0.2">
      <c r="G33" s="12"/>
      <c r="H33" s="146"/>
    </row>
    <row r="34" spans="1:8" x14ac:dyDescent="0.2">
      <c r="C34" s="9" t="s">
        <v>18</v>
      </c>
      <c r="D34" s="20">
        <v>15.5</v>
      </c>
      <c r="E34" s="6" t="s">
        <v>38</v>
      </c>
      <c r="F34" s="29">
        <f>IF(F32&lt;3,1,1.12*(F32)^(-1/8))</f>
        <v>1</v>
      </c>
      <c r="G34" s="11" t="s">
        <v>27</v>
      </c>
      <c r="H34" s="147"/>
    </row>
    <row r="35" spans="1:8" ht="12.75" customHeight="1" x14ac:dyDescent="0.2">
      <c r="C35" s="9"/>
      <c r="D35" s="7"/>
      <c r="H35" s="10"/>
    </row>
    <row r="36" spans="1:8" x14ac:dyDescent="0.2">
      <c r="A36" s="6" t="s">
        <v>19</v>
      </c>
      <c r="B36" s="1" t="s">
        <v>22</v>
      </c>
    </row>
    <row r="37" spans="1:8" x14ac:dyDescent="0.2">
      <c r="A37" s="6"/>
      <c r="B37" t="s">
        <v>16</v>
      </c>
    </row>
    <row r="38" spans="1:8" x14ac:dyDescent="0.2">
      <c r="A38" s="6"/>
    </row>
    <row r="39" spans="1:8" x14ac:dyDescent="0.2">
      <c r="A39" s="6"/>
      <c r="B39" s="144" t="s">
        <v>24</v>
      </c>
      <c r="C39" s="144"/>
      <c r="D39" s="20">
        <v>8</v>
      </c>
      <c r="E39" s="6" t="s">
        <v>20</v>
      </c>
      <c r="F39" s="23">
        <v>1</v>
      </c>
      <c r="G39" s="11" t="s">
        <v>7</v>
      </c>
      <c r="H39" s="145">
        <f>((340+7*(D39*D41)^0.5)*F41)*E4</f>
        <v>1073.0490218510167</v>
      </c>
    </row>
    <row r="40" spans="1:8" ht="6.95" customHeight="1" x14ac:dyDescent="0.2">
      <c r="A40" s="6"/>
      <c r="G40" s="12"/>
      <c r="H40" s="146"/>
    </row>
    <row r="41" spans="1:8" x14ac:dyDescent="0.2">
      <c r="A41" s="6"/>
      <c r="B41" s="144" t="s">
        <v>23</v>
      </c>
      <c r="C41" s="148"/>
      <c r="D41" s="20">
        <v>14.7</v>
      </c>
      <c r="E41" s="28" t="s">
        <v>38</v>
      </c>
      <c r="F41" s="29">
        <f>IF(F39&lt;3,1,1.12*(F39)^(-1/8))</f>
        <v>1</v>
      </c>
      <c r="G41" s="11" t="s">
        <v>27</v>
      </c>
      <c r="H41" s="147"/>
    </row>
    <row r="42" spans="1:8" ht="12.75" customHeight="1" x14ac:dyDescent="0.2">
      <c r="A42" s="6"/>
      <c r="C42" s="9"/>
      <c r="D42" s="7"/>
      <c r="G42" s="13"/>
      <c r="H42" s="10"/>
    </row>
    <row r="43" spans="1:8" ht="12.75" customHeight="1" x14ac:dyDescent="0.2">
      <c r="A43" s="6" t="s">
        <v>25</v>
      </c>
      <c r="B43" s="1" t="s">
        <v>26</v>
      </c>
    </row>
    <row r="44" spans="1:8" x14ac:dyDescent="0.2">
      <c r="A44" s="6"/>
      <c r="B44" s="1"/>
    </row>
    <row r="45" spans="1:8" x14ac:dyDescent="0.2">
      <c r="A45" s="6"/>
      <c r="B45" s="144" t="s">
        <v>17</v>
      </c>
      <c r="C45" s="144"/>
      <c r="D45" s="20">
        <v>8</v>
      </c>
      <c r="E45" s="6" t="s">
        <v>20</v>
      </c>
      <c r="F45" s="23">
        <v>1</v>
      </c>
      <c r="G45" s="11" t="s">
        <v>7</v>
      </c>
      <c r="H45" s="145">
        <f>((300+34*(D45*D47)^(1/3))*F47)*E4</f>
        <v>1012.1087133277052</v>
      </c>
    </row>
    <row r="46" spans="1:8" ht="6.95" customHeight="1" x14ac:dyDescent="0.2">
      <c r="A46" s="6"/>
      <c r="G46" s="12"/>
      <c r="H46" s="146"/>
    </row>
    <row r="47" spans="1:8" x14ac:dyDescent="0.2">
      <c r="A47" s="6"/>
      <c r="C47" s="9" t="s">
        <v>18</v>
      </c>
      <c r="D47" s="20">
        <v>2.5</v>
      </c>
      <c r="E47" s="28" t="s">
        <v>38</v>
      </c>
      <c r="F47" s="29">
        <f>IF(F45&lt;3,1,1.12*(F45)^(-1/8))</f>
        <v>1</v>
      </c>
      <c r="G47" s="11" t="s">
        <v>27</v>
      </c>
      <c r="H47" s="147"/>
    </row>
    <row r="48" spans="1:8" ht="12.75" customHeight="1" x14ac:dyDescent="0.2">
      <c r="A48" s="6"/>
      <c r="C48" s="9"/>
      <c r="D48" s="7"/>
      <c r="G48" s="13"/>
      <c r="H48" s="10"/>
    </row>
    <row r="49" spans="1:8" ht="15.75" x14ac:dyDescent="0.2">
      <c r="A49" s="6" t="s">
        <v>28</v>
      </c>
      <c r="B49" s="1" t="s">
        <v>29</v>
      </c>
      <c r="C49" s="9"/>
      <c r="D49" s="7"/>
      <c r="G49" s="13"/>
      <c r="H49" s="10"/>
    </row>
    <row r="50" spans="1:8" ht="12.75" customHeight="1" x14ac:dyDescent="0.2">
      <c r="A50" s="6"/>
      <c r="B50" s="1"/>
      <c r="C50" s="9"/>
      <c r="D50" s="7"/>
      <c r="G50" s="13"/>
      <c r="H50" s="10"/>
    </row>
    <row r="51" spans="1:8" ht="12.75" customHeight="1" x14ac:dyDescent="0.2">
      <c r="A51" s="6"/>
      <c r="B51" s="144" t="s">
        <v>24</v>
      </c>
      <c r="C51" s="144"/>
      <c r="D51" s="20">
        <v>8</v>
      </c>
      <c r="E51" s="6" t="s">
        <v>20</v>
      </c>
      <c r="F51" s="23">
        <v>1</v>
      </c>
      <c r="G51" s="11" t="s">
        <v>7</v>
      </c>
      <c r="H51" s="145">
        <f>((780+16*(D51*D53)^0.5)*F53)*E4</f>
        <v>2460.0549070880384</v>
      </c>
    </row>
    <row r="52" spans="1:8" ht="12.75" customHeight="1" x14ac:dyDescent="0.2">
      <c r="A52" s="6"/>
      <c r="G52" s="12"/>
      <c r="H52" s="146"/>
    </row>
    <row r="53" spans="1:8" ht="12.75" customHeight="1" x14ac:dyDescent="0.2">
      <c r="A53" s="6"/>
      <c r="B53" t="s">
        <v>23</v>
      </c>
      <c r="C53" s="9"/>
      <c r="D53" s="20">
        <v>14.7</v>
      </c>
      <c r="E53" s="28" t="s">
        <v>38</v>
      </c>
      <c r="F53" s="29">
        <f>IF(F51&lt;3,1,1.12*(F51)^(-1/8))</f>
        <v>1</v>
      </c>
      <c r="G53" s="11" t="s">
        <v>27</v>
      </c>
      <c r="H53" s="147"/>
    </row>
    <row r="54" spans="1:8" ht="12.75" customHeight="1" x14ac:dyDescent="0.2">
      <c r="A54" s="6"/>
      <c r="C54" s="9"/>
      <c r="D54" s="7"/>
      <c r="G54" s="11"/>
      <c r="H54" s="10"/>
    </row>
    <row r="55" spans="1:8" ht="12.75" customHeight="1" x14ac:dyDescent="0.2">
      <c r="A55" s="6" t="s">
        <v>30</v>
      </c>
      <c r="B55" s="1" t="s">
        <v>31</v>
      </c>
      <c r="C55" s="9"/>
      <c r="D55" s="7"/>
      <c r="G55" s="13"/>
      <c r="H55" s="10"/>
    </row>
    <row r="56" spans="1:8" ht="12.75" customHeight="1" x14ac:dyDescent="0.2">
      <c r="A56" s="6"/>
      <c r="B56" s="1"/>
      <c r="C56" s="9"/>
      <c r="D56" s="7"/>
      <c r="G56" s="13"/>
      <c r="H56" s="10"/>
    </row>
    <row r="57" spans="1:8" ht="12.75" customHeight="1" x14ac:dyDescent="0.2">
      <c r="A57" s="6"/>
      <c r="B57" s="144" t="s">
        <v>17</v>
      </c>
      <c r="C57" s="144"/>
      <c r="D57" s="20">
        <v>6</v>
      </c>
      <c r="E57" s="6" t="s">
        <v>20</v>
      </c>
      <c r="F57" s="23">
        <v>1</v>
      </c>
      <c r="G57" s="11" t="s">
        <v>7</v>
      </c>
      <c r="H57" s="145">
        <f>((100+12*(D57*D59)^(1/3))*F59)*E4</f>
        <v>290.05594701668269</v>
      </c>
    </row>
    <row r="58" spans="1:8" ht="12.75" customHeight="1" x14ac:dyDescent="0.2">
      <c r="A58" s="6"/>
      <c r="G58" s="12"/>
      <c r="H58" s="146"/>
    </row>
    <row r="59" spans="1:8" ht="12.75" customHeight="1" x14ac:dyDescent="0.2">
      <c r="A59" s="6"/>
      <c r="C59" s="9" t="s">
        <v>18</v>
      </c>
      <c r="D59" s="20">
        <v>0.185</v>
      </c>
      <c r="E59" s="28" t="s">
        <v>38</v>
      </c>
      <c r="F59" s="29">
        <f>IF(F57&lt;3,1,1.12*(F57)^(-1/8))</f>
        <v>1</v>
      </c>
      <c r="G59" s="11" t="s">
        <v>27</v>
      </c>
      <c r="H59" s="147"/>
    </row>
    <row r="60" spans="1:8" ht="12.75" customHeight="1" x14ac:dyDescent="0.2">
      <c r="A60" s="6"/>
      <c r="C60" s="9"/>
      <c r="D60" s="7"/>
      <c r="G60" s="11"/>
      <c r="H60" s="10"/>
    </row>
    <row r="61" spans="1:8" ht="12.75" customHeight="1" x14ac:dyDescent="0.2">
      <c r="A61" s="6" t="s">
        <v>32</v>
      </c>
      <c r="B61" s="1" t="s">
        <v>33</v>
      </c>
      <c r="C61" s="9"/>
      <c r="D61" s="7"/>
      <c r="G61" s="13"/>
      <c r="H61" s="10"/>
    </row>
    <row r="62" spans="1:8" ht="12.75" customHeight="1" x14ac:dyDescent="0.2">
      <c r="A62" s="6"/>
      <c r="B62" s="1"/>
      <c r="C62" s="9"/>
      <c r="D62" s="7"/>
      <c r="G62" s="13"/>
      <c r="H62" s="10"/>
    </row>
    <row r="63" spans="1:8" ht="12.75" customHeight="1" x14ac:dyDescent="0.2">
      <c r="A63" s="6"/>
      <c r="B63" s="144" t="s">
        <v>24</v>
      </c>
      <c r="C63" s="144"/>
      <c r="D63" s="20">
        <v>4.92</v>
      </c>
      <c r="E63" s="6" t="s">
        <v>20</v>
      </c>
      <c r="F63" s="23">
        <v>1</v>
      </c>
      <c r="G63" s="11" t="s">
        <v>7</v>
      </c>
      <c r="H63" s="145">
        <f>((160+5*(D63*D65)^0.5)*F65)*E4</f>
        <v>429.48444329307995</v>
      </c>
    </row>
    <row r="64" spans="1:8" ht="12.75" customHeight="1" x14ac:dyDescent="0.2">
      <c r="A64" s="6"/>
      <c r="D64" s="25"/>
      <c r="G64" s="12"/>
      <c r="H64" s="146"/>
    </row>
    <row r="65" spans="1:8" ht="12.75" customHeight="1" x14ac:dyDescent="0.2">
      <c r="A65" s="6"/>
      <c r="B65" t="s">
        <v>23</v>
      </c>
      <c r="C65" s="9"/>
      <c r="D65" s="20">
        <v>0.34</v>
      </c>
      <c r="E65" s="28" t="s">
        <v>38</v>
      </c>
      <c r="F65" s="29">
        <f>IF(F63&lt;3,1,1.12*(F63)^(-1/8))</f>
        <v>1</v>
      </c>
      <c r="G65" s="11" t="s">
        <v>27</v>
      </c>
      <c r="H65" s="147"/>
    </row>
    <row r="66" spans="1:8" ht="12.75" customHeight="1" x14ac:dyDescent="0.2">
      <c r="A66" s="6"/>
      <c r="C66" s="9"/>
      <c r="D66" s="7"/>
      <c r="G66" s="11"/>
      <c r="H66" s="10"/>
    </row>
    <row r="67" spans="1:8" ht="12.75" customHeight="1" x14ac:dyDescent="0.2">
      <c r="A67" s="6"/>
      <c r="C67" s="9"/>
      <c r="D67" s="7"/>
      <c r="G67" s="11"/>
      <c r="H67" s="10"/>
    </row>
    <row r="68" spans="1:8" ht="12.75" customHeight="1" x14ac:dyDescent="0.2">
      <c r="A68" s="6"/>
      <c r="C68" s="9"/>
      <c r="D68" s="7"/>
      <c r="G68" s="11"/>
      <c r="H68" s="10"/>
    </row>
    <row r="69" spans="1:8" ht="12.75" customHeight="1" x14ac:dyDescent="0.2">
      <c r="A69" s="6" t="s">
        <v>34</v>
      </c>
      <c r="B69" s="1" t="s">
        <v>35</v>
      </c>
      <c r="C69" s="9"/>
      <c r="D69" s="7"/>
      <c r="G69" s="11"/>
      <c r="H69" s="10"/>
    </row>
    <row r="70" spans="1:8" ht="12.75" customHeight="1" x14ac:dyDescent="0.2">
      <c r="A70" s="6"/>
      <c r="C70" s="9"/>
      <c r="D70" s="7"/>
      <c r="G70" s="11"/>
      <c r="H70" s="10"/>
    </row>
    <row r="71" spans="1:8" ht="12.75" customHeight="1" x14ac:dyDescent="0.2">
      <c r="A71" s="6"/>
      <c r="B71" t="s">
        <v>36</v>
      </c>
      <c r="C71" s="9"/>
      <c r="D71" s="7"/>
      <c r="E71" t="s">
        <v>37</v>
      </c>
      <c r="G71" s="11">
        <v>1</v>
      </c>
      <c r="H71" s="10"/>
    </row>
    <row r="72" spans="1:8" ht="6.95" customHeight="1" x14ac:dyDescent="0.2">
      <c r="A72" s="6"/>
      <c r="C72" s="9"/>
      <c r="D72" s="7"/>
      <c r="G72" s="11"/>
      <c r="H72" s="10"/>
    </row>
    <row r="73" spans="1:8" s="15" customFormat="1" ht="15.95" customHeight="1" x14ac:dyDescent="0.25">
      <c r="A73" s="14"/>
      <c r="B73" s="14" t="s">
        <v>38</v>
      </c>
      <c r="C73" s="17">
        <f>IF(H73&lt;3,1,1.12*(H73)^(-1/8))</f>
        <v>1</v>
      </c>
      <c r="E73" s="18" t="s">
        <v>39</v>
      </c>
      <c r="F73" s="24"/>
      <c r="G73" s="14" t="s">
        <v>43</v>
      </c>
      <c r="H73" s="31">
        <v>1</v>
      </c>
    </row>
    <row r="74" spans="1:8" ht="6.95" customHeight="1" x14ac:dyDescent="0.2"/>
    <row r="75" spans="1:8" x14ac:dyDescent="0.2">
      <c r="B75" t="s">
        <v>41</v>
      </c>
    </row>
    <row r="85" spans="3:3" ht="15" x14ac:dyDescent="0.2">
      <c r="C85" s="30"/>
    </row>
  </sheetData>
  <mergeCells count="18">
    <mergeCell ref="B41:C41"/>
    <mergeCell ref="B32:C32"/>
    <mergeCell ref="B57:C57"/>
    <mergeCell ref="H57:H59"/>
    <mergeCell ref="H32:H34"/>
    <mergeCell ref="B39:C39"/>
    <mergeCell ref="H39:H41"/>
    <mergeCell ref="B63:C63"/>
    <mergeCell ref="H63:H65"/>
    <mergeCell ref="H51:H53"/>
    <mergeCell ref="H45:H47"/>
    <mergeCell ref="B51:C51"/>
    <mergeCell ref="B45:C45"/>
    <mergeCell ref="C4:D5"/>
    <mergeCell ref="E4:E5"/>
    <mergeCell ref="F4:F5"/>
    <mergeCell ref="G4:G5"/>
    <mergeCell ref="D13:E13"/>
  </mergeCells>
  <phoneticPr fontId="0" type="noConversion"/>
  <pageMargins left="0.75" right="0.75" top="1" bottom="1" header="0" footer="0"/>
  <pageSetup paperSize="5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6:F25"/>
  <sheetViews>
    <sheetView workbookViewId="0">
      <selection activeCell="E34" sqref="E34"/>
    </sheetView>
  </sheetViews>
  <sheetFormatPr baseColWidth="10" defaultRowHeight="12.75" x14ac:dyDescent="0.2"/>
  <sheetData>
    <row r="6" spans="3:6" x14ac:dyDescent="0.2">
      <c r="C6" t="s">
        <v>87</v>
      </c>
    </row>
    <row r="8" spans="3:6" ht="13.5" thickBot="1" x14ac:dyDescent="0.25"/>
    <row r="9" spans="3:6" ht="13.5" thickBot="1" x14ac:dyDescent="0.25">
      <c r="C9" s="59" t="s">
        <v>55</v>
      </c>
      <c r="F9" t="s">
        <v>88</v>
      </c>
    </row>
    <row r="10" spans="3:6" x14ac:dyDescent="0.2">
      <c r="C10" s="37"/>
    </row>
    <row r="11" spans="3:6" x14ac:dyDescent="0.2">
      <c r="C11" s="37" t="s">
        <v>67</v>
      </c>
    </row>
    <row r="12" spans="3:6" x14ac:dyDescent="0.2">
      <c r="C12" s="37" t="s">
        <v>68</v>
      </c>
    </row>
    <row r="13" spans="3:6" x14ac:dyDescent="0.2">
      <c r="C13" s="37" t="s">
        <v>69</v>
      </c>
    </row>
    <row r="14" spans="3:6" x14ac:dyDescent="0.2">
      <c r="C14" s="37" t="s">
        <v>70</v>
      </c>
    </row>
    <row r="15" spans="3:6" x14ac:dyDescent="0.2">
      <c r="C15" s="37" t="s">
        <v>71</v>
      </c>
    </row>
    <row r="16" spans="3:6" x14ac:dyDescent="0.2">
      <c r="C16" s="37" t="s">
        <v>72</v>
      </c>
    </row>
    <row r="17" spans="3:6" x14ac:dyDescent="0.2">
      <c r="C17" s="37" t="s">
        <v>73</v>
      </c>
    </row>
    <row r="20" spans="3:6" x14ac:dyDescent="0.2">
      <c r="D20" t="s">
        <v>89</v>
      </c>
    </row>
    <row r="22" spans="3:6" x14ac:dyDescent="0.2">
      <c r="F22" t="s">
        <v>60</v>
      </c>
    </row>
    <row r="24" spans="3:6" x14ac:dyDescent="0.2">
      <c r="F24" t="s">
        <v>90</v>
      </c>
    </row>
    <row r="25" spans="3:6" x14ac:dyDescent="0.2">
      <c r="F25" t="s">
        <v>91</v>
      </c>
    </row>
  </sheetData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Aparatos sometidos a presión</vt:lpstr>
      <vt:lpstr>COMO USAR </vt:lpstr>
      <vt:lpstr>Sheet1!Área_de_impresión</vt:lpstr>
    </vt:vector>
  </TitlesOfParts>
  <Company>Colegio de Ingenieros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Dario Alam</dc:creator>
  <cp:lastModifiedBy>Juan Carlos</cp:lastModifiedBy>
  <cp:lastPrinted>2020-11-30T13:05:57Z</cp:lastPrinted>
  <dcterms:created xsi:type="dcterms:W3CDTF">2002-03-18T13:00:47Z</dcterms:created>
  <dcterms:modified xsi:type="dcterms:W3CDTF">2025-08-08T14:50:39Z</dcterms:modified>
</cp:coreProperties>
</file>