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834" activeTab="0"/>
  </bookViews>
  <sheets>
    <sheet name="INGRESO DE DATOS" sheetId="1" r:id="rId1"/>
    <sheet name="CONTRATO PROF." sheetId="2" r:id="rId2"/>
    <sheet name="PLANILLA ANEXA" sheetId="3" r:id="rId3"/>
    <sheet name="PLANILLA DE CALCULOS " sheetId="4" state="hidden" r:id="rId4"/>
    <sheet name="ACTA ESTADO DE OBRA" sheetId="5" r:id="rId5"/>
    <sheet name="CATEGORIZACION DE VIV. UNIF." sheetId="6" r:id="rId6"/>
    <sheet name="Art.29" sheetId="7" r:id="rId7"/>
    <sheet name="ARBA R-115" sheetId="8" r:id="rId8"/>
    <sheet name="GASTOS" sheetId="9" r:id="rId9"/>
    <sheet name="INSTRUCTIVO" sheetId="10" r:id="rId10"/>
  </sheets>
  <externalReferences>
    <externalReference r:id="rId13"/>
  </externalReferences>
  <definedNames>
    <definedName name="_xlnm.Print_Area" localSheetId="7">'ARBA R-115'!$B$2:$O$48</definedName>
    <definedName name="_xlnm.Print_Area" localSheetId="6">'Art.29'!$A$1:$BA$72</definedName>
    <definedName name="_xlnm.Print_Area" localSheetId="1">'CONTRATO PROF.'!$A$1:$BL$69</definedName>
    <definedName name="_xlnm.Print_Area" localSheetId="0">'INGRESO DE DATOS'!$B$89:$L$113</definedName>
    <definedName name="_xlnm.Print_Area" localSheetId="2">'PLANILLA ANEXA'!$A$1:$N$104</definedName>
  </definedNames>
  <calcPr fullCalcOnLoad="1"/>
</workbook>
</file>

<file path=xl/comments1.xml><?xml version="1.0" encoding="utf-8"?>
<comments xmlns="http://schemas.openxmlformats.org/spreadsheetml/2006/main">
  <authors>
    <author>PRESIDENCIA7</author>
    <author>Rolando</author>
    <author>Rolando lopez</author>
  </authors>
  <commentList>
    <comment ref="B75" authorId="0">
      <text>
        <r>
          <rPr>
            <b/>
            <sz val="9"/>
            <rFont val="Tahoma"/>
            <family val="2"/>
          </rPr>
          <t xml:space="preserve">SI ES VIVIENDA UNIFAMILIAR INDICAR   SI
</t>
        </r>
        <r>
          <rPr>
            <sz val="9"/>
            <rFont val="Tahoma"/>
            <family val="2"/>
          </rPr>
          <t xml:space="preserve">
</t>
        </r>
      </text>
    </comment>
    <comment ref="B58" authorId="1">
      <text>
        <r>
          <rPr>
            <b/>
            <sz val="9"/>
            <rFont val="Tahoma"/>
            <family val="2"/>
          </rPr>
          <t>S</t>
        </r>
        <r>
          <rPr>
            <sz val="9"/>
            <rFont val="Tahoma"/>
            <family val="2"/>
          </rPr>
          <t xml:space="preserve">iempre que se Realice la tarea de
 </t>
        </r>
        <r>
          <rPr>
            <b/>
            <sz val="9"/>
            <rFont val="Tahoma"/>
            <family val="2"/>
          </rPr>
          <t xml:space="preserve">MEDICION </t>
        </r>
        <r>
          <rPr>
            <sz val="9"/>
            <rFont val="Tahoma"/>
            <family val="2"/>
          </rPr>
          <t>se debe  Completar y Presentar</t>
        </r>
        <r>
          <rPr>
            <b/>
            <sz val="9"/>
            <rFont val="Tahoma"/>
            <family val="2"/>
          </rPr>
          <t xml:space="preserve"> EL ACTA DE ESTADO DE OBRA</t>
        </r>
        <r>
          <rPr>
            <sz val="9"/>
            <rFont val="Tahoma"/>
            <family val="2"/>
          </rPr>
          <t xml:space="preserve">
</t>
        </r>
      </text>
    </comment>
    <comment ref="B53" authorId="0">
      <text>
        <r>
          <rPr>
            <sz val="9"/>
            <rFont val="Tahoma"/>
            <family val="2"/>
          </rPr>
          <t xml:space="preserve">ESTADO BUENO 0,30
ESTADO REGULAR 0,45
ESTADO MALO  0,60
</t>
        </r>
      </text>
    </comment>
    <comment ref="B71" authorId="2">
      <text>
        <r>
          <rPr>
            <sz val="9"/>
            <rFont val="Tahoma"/>
            <family val="2"/>
          </rPr>
          <t>Elegir "NO" cuando hay antecedentes para justificar Metros</t>
        </r>
      </text>
    </comment>
    <comment ref="B73" authorId="1">
      <text>
        <r>
          <rPr>
            <b/>
            <sz val="9"/>
            <rFont val="Tahoma"/>
            <family val="2"/>
          </rPr>
          <t>SIEMPRE QUE LA TAREA SEA MEDICION SE DEBE COMPLETAR EL ACTA DE ESTADO DE OBRA</t>
        </r>
        <r>
          <rPr>
            <sz val="9"/>
            <rFont val="Tahoma"/>
            <family val="2"/>
          </rPr>
          <t xml:space="preserve">
</t>
        </r>
      </text>
    </comment>
    <comment ref="I122" authorId="1">
      <text>
        <r>
          <rPr>
            <b/>
            <sz val="9"/>
            <rFont val="Tahoma"/>
            <family val="2"/>
          </rPr>
          <t>Para Eliminar el ERROR
VERIFICAR DATOS CATASTRALES</t>
        </r>
        <r>
          <rPr>
            <sz val="9"/>
            <rFont val="Tahoma"/>
            <family val="2"/>
          </rPr>
          <t xml:space="preserve">
</t>
        </r>
      </text>
    </comment>
    <comment ref="I125" authorId="2">
      <text>
        <r>
          <rPr>
            <b/>
            <sz val="9"/>
            <rFont val="Tahoma"/>
            <family val="2"/>
          </rPr>
          <t>Para Eliminar el ERROR Verifique los Datos CATASTRALES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<sst xmlns="http://schemas.openxmlformats.org/spreadsheetml/2006/main" count="1345" uniqueCount="931">
  <si>
    <t>en</t>
  </si>
  <si>
    <t>$/m2</t>
  </si>
  <si>
    <t>TOTAL (b-1)</t>
  </si>
  <si>
    <t xml:space="preserve">       </t>
  </si>
  <si>
    <t>TOTAL (b-2)</t>
  </si>
  <si>
    <t>Hasta</t>
  </si>
  <si>
    <t>s/los sigtes.</t>
  </si>
  <si>
    <t>$</t>
  </si>
  <si>
    <t xml:space="preserve"> </t>
  </si>
  <si>
    <t>APORTE 10% (H)</t>
  </si>
  <si>
    <t>Suma parcial (I)</t>
  </si>
  <si>
    <t>Suma parcial (II)</t>
  </si>
  <si>
    <t>FIRMA DEL COMITENTE (S)</t>
  </si>
  <si>
    <t>FIRMA DEL PROFESIONAL</t>
  </si>
  <si>
    <t xml:space="preserve"> CONTRATACION OBLIGATORIA DE TAREAS PROFESIONALES</t>
  </si>
  <si>
    <t>PROYECTO</t>
  </si>
  <si>
    <t>piscina</t>
  </si>
  <si>
    <t>MEDICION</t>
  </si>
  <si>
    <t>Categ.</t>
  </si>
  <si>
    <t>m2 a razon de</t>
  </si>
  <si>
    <t>c) DETERMINACION DEL HONORARIO</t>
  </si>
  <si>
    <t>C-1) Proyecto y Direccion Cat. S/tabla XVII</t>
  </si>
  <si>
    <t>TOTAL (b1)</t>
  </si>
  <si>
    <t xml:space="preserve">El </t>
  </si>
  <si>
    <t>%</t>
  </si>
  <si>
    <t>TOTAL (c-1)</t>
  </si>
  <si>
    <t>c-2) Mediciones: Titulo VIII (exc. Incs C Y d)</t>
  </si>
  <si>
    <t xml:space="preserve">Inciso a) Tabla XXI </t>
  </si>
  <si>
    <t>d) Descomposicion de Honorario</t>
  </si>
  <si>
    <t xml:space="preserve">D-1 ) Proyecto </t>
  </si>
  <si>
    <t>de</t>
  </si>
  <si>
    <t>CONTRIBUCION OBLIGATORIA</t>
  </si>
  <si>
    <t>(Art.29 Ley 12,490)</t>
  </si>
  <si>
    <t xml:space="preserve">TOTAL (b1) </t>
  </si>
  <si>
    <t xml:space="preserve">Hasta </t>
  </si>
  <si>
    <t>El</t>
  </si>
  <si>
    <t>s/los sigtes</t>
  </si>
  <si>
    <t xml:space="preserve">Total (A) </t>
  </si>
  <si>
    <t xml:space="preserve">APORTE 10% (H) </t>
  </si>
  <si>
    <t>Honorario total s/decr.. 6964/65 ( I+II)</t>
  </si>
  <si>
    <t>Honorario base (h / Fc)</t>
  </si>
  <si>
    <t>(Ho)</t>
  </si>
  <si>
    <t>SE CONSIGANA EL MONTO DEL HONORARIO EN PESOS:</t>
  </si>
  <si>
    <t>% s/los sigtes.</t>
  </si>
  <si>
    <t>_____________________________</t>
  </si>
  <si>
    <t>____________________________</t>
  </si>
  <si>
    <t xml:space="preserve">En la ciudad de </t>
  </si>
  <si>
    <t>entre</t>
  </si>
  <si>
    <t>con titulo profesional de</t>
  </si>
  <si>
    <t>DOMICILIO REAL DEL COMITENTE</t>
  </si>
  <si>
    <t>DOMICILIO LEGAL DEL COMITENTE</t>
  </si>
  <si>
    <t>NOMBRE DEL PROFESIONAL</t>
  </si>
  <si>
    <t>TITULO DEL PROFESIONAL</t>
  </si>
  <si>
    <t xml:space="preserve">CIRCUNSCRIPCION </t>
  </si>
  <si>
    <t>SECCION</t>
  </si>
  <si>
    <t>MANZANA</t>
  </si>
  <si>
    <t>PARCELA</t>
  </si>
  <si>
    <t>PLAZO DE VIGENCIA DEL CONTRATO</t>
  </si>
  <si>
    <t>FORMA DE PAGO</t>
  </si>
  <si>
    <t>JURISDICCION DE TRIBUNALES ACTUANTES</t>
  </si>
  <si>
    <t xml:space="preserve">% </t>
  </si>
  <si>
    <t>de la Dirección</t>
  </si>
  <si>
    <t>Demolicion</t>
  </si>
  <si>
    <t>TOTAL (c-2)</t>
  </si>
  <si>
    <t>Honorario convenido (Monto del Contrato H)</t>
  </si>
  <si>
    <t>CONTRIBUCION (Art.29)</t>
  </si>
  <si>
    <t xml:space="preserve">D-2 ) Direccion </t>
  </si>
  <si>
    <t xml:space="preserve">D-3 ) Direccion Ejecutiva  </t>
  </si>
  <si>
    <t xml:space="preserve">         Inciso a) Tabla XXI</t>
  </si>
  <si>
    <t xml:space="preserve">         D–1  )  Proyecto</t>
  </si>
  <si>
    <t xml:space="preserve">         D-2) Dirección </t>
  </si>
  <si>
    <t xml:space="preserve">         Suplemento de la direccion</t>
  </si>
  <si>
    <t>TIPO DE CONTRATO</t>
  </si>
  <si>
    <t>ORIGINARIO</t>
  </si>
  <si>
    <t>renunciandoa todo otro fuero o jurisdicción.</t>
  </si>
  <si>
    <t>Parcial</t>
  </si>
  <si>
    <t>Acumulado</t>
  </si>
  <si>
    <t>Proyecto y direccion</t>
  </si>
  <si>
    <t>Medicion</t>
  </si>
  <si>
    <t>Informe Tecnico</t>
  </si>
  <si>
    <t>d) Informe Tecnico (s/tit.II -art. 5º)</t>
  </si>
  <si>
    <t>S/inciso a()</t>
  </si>
  <si>
    <t>S/inciso b()</t>
  </si>
  <si>
    <t xml:space="preserve"> HASTA</t>
  </si>
  <si>
    <t>TOTAL</t>
  </si>
  <si>
    <t xml:space="preserve"> del V.O.</t>
  </si>
  <si>
    <t>Min. Inc. A</t>
  </si>
  <si>
    <t xml:space="preserve">Insiso B </t>
  </si>
  <si>
    <t>TOTAL (V.O.)</t>
  </si>
  <si>
    <t xml:space="preserve">     S/inciso a()</t>
  </si>
  <si>
    <t xml:space="preserve">     S/inciso b()</t>
  </si>
  <si>
    <t xml:space="preserve">     TOTAL (V.O.)</t>
  </si>
  <si>
    <t xml:space="preserve">      HASTA</t>
  </si>
  <si>
    <t>0,5%   del V.O.</t>
  </si>
  <si>
    <t xml:space="preserve">    % s/los sigtes.</t>
  </si>
  <si>
    <t>VISADO N·</t>
  </si>
  <si>
    <t>Represent.  Tecnica</t>
  </si>
  <si>
    <t>INFORME TECNICO</t>
  </si>
  <si>
    <t>REPRESENTACION TECNICA</t>
  </si>
  <si>
    <t>Monto de Obra</t>
  </si>
  <si>
    <t>DEMOLICION</t>
  </si>
  <si>
    <t>Frac/Chac/Qta.</t>
  </si>
  <si>
    <t>Circ.</t>
  </si>
  <si>
    <t>Manz.</t>
  </si>
  <si>
    <t>Parc.</t>
  </si>
  <si>
    <t>Prefabricadas Económicas de madera</t>
  </si>
  <si>
    <t>TIPO DE OBRA</t>
  </si>
  <si>
    <t>ARQUITECTURA E INGENIERIA</t>
  </si>
  <si>
    <t>1.</t>
  </si>
  <si>
    <t>1.1.1.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</si>
  <si>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</si>
  <si>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</si>
  <si>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</si>
  <si>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</si>
  <si>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</si>
  <si>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</si>
  <si>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</si>
  <si>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</si>
  <si>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PISCINAS</t>
  </si>
  <si>
    <t>1.6.1</t>
  </si>
  <si>
    <t>1.6.2</t>
  </si>
  <si>
    <t>2.</t>
  </si>
  <si>
    <t>INDUSTRIALES Y ALMACENAJE</t>
  </si>
  <si>
    <t>2.1.</t>
  </si>
  <si>
    <t>2.2.</t>
  </si>
  <si>
    <t>2.3.</t>
  </si>
  <si>
    <t>2.4.</t>
  </si>
  <si>
    <t>Invernáculos, locales para cría de animales</t>
  </si>
  <si>
    <t>2.5.</t>
  </si>
  <si>
    <t>Tinglados y cobertizos (Sup. Cubierta = Sup. Semicubierta</t>
  </si>
  <si>
    <t>2.6.1</t>
  </si>
  <si>
    <t xml:space="preserve"> Hormigón Armado</t>
  </si>
  <si>
    <t>2.6.2</t>
  </si>
  <si>
    <t xml:space="preserve"> Mampostería</t>
  </si>
  <si>
    <t>2.6.3</t>
  </si>
  <si>
    <t xml:space="preserve"> Chapa</t>
  </si>
  <si>
    <t>3.</t>
  </si>
  <si>
    <t>COMERCIO</t>
  </si>
  <si>
    <t>3.1.</t>
  </si>
  <si>
    <t>3.2.</t>
  </si>
  <si>
    <t>3.3.</t>
  </si>
  <si>
    <t>3.4.</t>
  </si>
  <si>
    <t>Shopping</t>
  </si>
  <si>
    <t>4.</t>
  </si>
  <si>
    <t>4.1.</t>
  </si>
  <si>
    <t>Bibliotecas Públicas</t>
  </si>
  <si>
    <t>4.2.</t>
  </si>
  <si>
    <t>Salones de fiestas, locales bailables</t>
  </si>
  <si>
    <t>4.3.</t>
  </si>
  <si>
    <t>Cafes Concert o Auditorios</t>
  </si>
  <si>
    <t>4.4.</t>
  </si>
  <si>
    <t>Cines</t>
  </si>
  <si>
    <t>4.5.</t>
  </si>
  <si>
    <t>Teatros</t>
  </si>
  <si>
    <t>4.6.</t>
  </si>
  <si>
    <t>Casinos/Salas de Juegos</t>
  </si>
  <si>
    <t>4.7.</t>
  </si>
  <si>
    <t>Autocines</t>
  </si>
  <si>
    <t>4.8.</t>
  </si>
  <si>
    <t>Anfiteatros</t>
  </si>
  <si>
    <t>5.</t>
  </si>
  <si>
    <t>EDUCACION</t>
  </si>
  <si>
    <t>5.1.</t>
  </si>
  <si>
    <t>EGB., JI, EM,EMA Y T, hasta 200 m2</t>
  </si>
  <si>
    <t>5.2.</t>
  </si>
  <si>
    <t>EGB, JI, EM, EMA Y T, mayores de 200 m2</t>
  </si>
  <si>
    <t>5.3.</t>
  </si>
  <si>
    <t>Escuelas, Institutos, Facult. (cualquier nivel)</t>
  </si>
  <si>
    <t>6.</t>
  </si>
  <si>
    <t>SALUD</t>
  </si>
  <si>
    <t>6.1.</t>
  </si>
  <si>
    <t>Dispensarios, Salas de 1º Auxilios</t>
  </si>
  <si>
    <t>6.2.</t>
  </si>
  <si>
    <t>Consultorios, Laboratorios de Análisis clínicos</t>
  </si>
  <si>
    <t>6.3.</t>
  </si>
  <si>
    <t>Clinicas, Sanatorios e Institutos Geriátricos</t>
  </si>
  <si>
    <t>Hospitales y/o Alta Complejidad</t>
  </si>
  <si>
    <t>7.</t>
  </si>
  <si>
    <t>BANCOS Y FINANZAS</t>
  </si>
  <si>
    <t>7.1.</t>
  </si>
  <si>
    <t>Bancos, Financieras, Créditos y Seguros</t>
  </si>
  <si>
    <t>8.</t>
  </si>
  <si>
    <t>HOTELERIA</t>
  </si>
  <si>
    <t>8.1.</t>
  </si>
  <si>
    <t>Hosterías, hospedajes y pensiones</t>
  </si>
  <si>
    <t>8.2.</t>
  </si>
  <si>
    <t>Hotes 2 Y 3 estrellas</t>
  </si>
  <si>
    <t>8.3.</t>
  </si>
  <si>
    <t>Albergues transitorios</t>
  </si>
  <si>
    <t>8.4.</t>
  </si>
  <si>
    <t>Hoteles 4 y 5 estrellas</t>
  </si>
  <si>
    <t>9.</t>
  </si>
  <si>
    <t>GASTRONOMIA</t>
  </si>
  <si>
    <t>9.1.</t>
  </si>
  <si>
    <t>Parrillas, casas de comida</t>
  </si>
  <si>
    <t>9.2.</t>
  </si>
  <si>
    <t>Restaurantes , bares, confiterías, pizzerías</t>
  </si>
  <si>
    <t>9.3.</t>
  </si>
  <si>
    <t>Restaurantes de categoría</t>
  </si>
  <si>
    <t>10.</t>
  </si>
  <si>
    <t>CULTO, ARQUITECTURA FUNERARIA</t>
  </si>
  <si>
    <t>10.1.</t>
  </si>
  <si>
    <t>Capillas o equivalentes en otros cultos</t>
  </si>
  <si>
    <t>10.2.</t>
  </si>
  <si>
    <t>Iglesias o equivalentes en otros cultos</t>
  </si>
  <si>
    <t>10.4.</t>
  </si>
  <si>
    <t>Velatorios</t>
  </si>
  <si>
    <t>10.5.</t>
  </si>
  <si>
    <t>Cementerios</t>
  </si>
  <si>
    <t>10.5.1.</t>
  </si>
  <si>
    <t>Parquizaciones espacios exteriores</t>
  </si>
  <si>
    <t>10.5.2.</t>
  </si>
  <si>
    <t xml:space="preserve"> nichos (por unidad)</t>
  </si>
  <si>
    <t>10.5.3.</t>
  </si>
  <si>
    <t>bóvedas o panteones (por unidad)</t>
  </si>
  <si>
    <t>11.</t>
  </si>
  <si>
    <t>ESPACIOS URBANOS DESCUBIERTOS</t>
  </si>
  <si>
    <t>11.1.</t>
  </si>
  <si>
    <t>Tratamiento y/o parquización de espacios exteriores (Plazas y Parques)</t>
  </si>
  <si>
    <t>11.2.</t>
  </si>
  <si>
    <t>Mantenimiento de Plazas y parques</t>
  </si>
  <si>
    <t>según compúto y presupuesto</t>
  </si>
  <si>
    <t>11.3.</t>
  </si>
  <si>
    <t>Red Vial</t>
  </si>
  <si>
    <t>11.3.1.</t>
  </si>
  <si>
    <t>Mejorada</t>
  </si>
  <si>
    <t>11.3.2.</t>
  </si>
  <si>
    <t>Pavimento urbano (rígido)</t>
  </si>
  <si>
    <t>11.3.3.</t>
  </si>
  <si>
    <t>Pavimento urbano (flexible)</t>
  </si>
  <si>
    <t>12.</t>
  </si>
  <si>
    <t>ADMINISTRACION</t>
  </si>
  <si>
    <t>12.1.</t>
  </si>
  <si>
    <t>Edificios privados</t>
  </si>
  <si>
    <t>12.2.</t>
  </si>
  <si>
    <t>Edificios públicos</t>
  </si>
  <si>
    <t>13.</t>
  </si>
  <si>
    <t>DEPORTES Y RECREACION</t>
  </si>
  <si>
    <t>13.1.</t>
  </si>
  <si>
    <t>Club Social</t>
  </si>
  <si>
    <t>13.2.1.</t>
  </si>
  <si>
    <t>Sin tribuna con estructura de luces menores de 15 mtrs.</t>
  </si>
  <si>
    <t>13.2.2.</t>
  </si>
  <si>
    <t>Idem mayores de 15 m. especiales</t>
  </si>
  <si>
    <t>13.2.3.</t>
  </si>
  <si>
    <t>con tribuna, con estructuras de luces menores 15m.</t>
  </si>
  <si>
    <t>13.2.4.</t>
  </si>
  <si>
    <t>Idem de luces mayores de 15 m. Isostáticas o hiperestáticas</t>
  </si>
  <si>
    <t>13.2.5.</t>
  </si>
  <si>
    <t>13.3.</t>
  </si>
  <si>
    <t>13.3.1.</t>
  </si>
  <si>
    <t>Descubiertos (espejo de agua)</t>
  </si>
  <si>
    <t>13.3.2.</t>
  </si>
  <si>
    <t>Cubiertos (adicionar a superficies cubiertas deportivas)</t>
  </si>
  <si>
    <t>13.4.</t>
  </si>
  <si>
    <t>Gimnasios</t>
  </si>
  <si>
    <t>13.5.</t>
  </si>
  <si>
    <t>13.5.1</t>
  </si>
  <si>
    <t>Descubiertas sobre césped o similar</t>
  </si>
  <si>
    <t>13.5.2.</t>
  </si>
  <si>
    <t>Descubiertas con tratamiento de pisos</t>
  </si>
  <si>
    <t>14.</t>
  </si>
  <si>
    <t>COCHERAS</t>
  </si>
  <si>
    <t>14.1.</t>
  </si>
  <si>
    <t>Planta única con cubierta liviana</t>
  </si>
  <si>
    <t>14.2.</t>
  </si>
  <si>
    <t>Planta única con cubierta Hº Aº o estructura especiales</t>
  </si>
  <si>
    <t>14.3.</t>
  </si>
  <si>
    <t>Más de una planta sin elevadores mecánicos</t>
  </si>
  <si>
    <t>14.4.</t>
  </si>
  <si>
    <t>Más de una planta con elevadores mecánicos</t>
  </si>
  <si>
    <t>15.</t>
  </si>
  <si>
    <t>15.1.</t>
  </si>
  <si>
    <t xml:space="preserve">Playas de Estacionamiento y/o Maniobras </t>
  </si>
  <si>
    <t>15.2.1.</t>
  </si>
  <si>
    <t>15.2.2.</t>
  </si>
  <si>
    <t>16.</t>
  </si>
  <si>
    <t>TRANSPORTE</t>
  </si>
  <si>
    <t>16.1.</t>
  </si>
  <si>
    <t>Estaciones de Omnibus, Ferroviarias</t>
  </si>
  <si>
    <t>16.2.</t>
  </si>
  <si>
    <t>Aeropuertos</t>
  </si>
  <si>
    <t>17.</t>
  </si>
  <si>
    <t>ESTRUCTURAS COMUNES PARA EDIFICIOS</t>
  </si>
  <si>
    <t>17.1.</t>
  </si>
  <si>
    <t>Sin incidencia del viento</t>
  </si>
  <si>
    <t>17.2.</t>
  </si>
  <si>
    <t>con incidencia del viento</t>
  </si>
  <si>
    <t>Exedente</t>
  </si>
  <si>
    <t>Los primeros.</t>
  </si>
  <si>
    <t xml:space="preserve"> 0.0</t>
  </si>
  <si>
    <t xml:space="preserve"> ------------------</t>
  </si>
  <si>
    <t>m2</t>
  </si>
  <si>
    <r>
      <t>b-1) Según Art. Titulo VIII (</t>
    </r>
    <r>
      <rPr>
        <b/>
        <sz val="8"/>
        <rFont val="Arial"/>
        <family val="2"/>
      </rPr>
      <t>PROYECTO</t>
    </r>
    <r>
      <rPr>
        <sz val="8"/>
        <rFont val="Arial"/>
        <family val="2"/>
      </rPr>
      <t>)</t>
    </r>
  </si>
  <si>
    <r>
      <t>b-2) Según Art.19 Titulo VIII (</t>
    </r>
    <r>
      <rPr>
        <b/>
        <sz val="8"/>
        <rFont val="Arial"/>
        <family val="2"/>
      </rPr>
      <t>MEDICION</t>
    </r>
    <r>
      <rPr>
        <sz val="8"/>
        <rFont val="Arial"/>
        <family val="2"/>
      </rPr>
      <t>)</t>
    </r>
  </si>
  <si>
    <t>EN LETRAS:</t>
  </si>
  <si>
    <t xml:space="preserve">        </t>
  </si>
  <si>
    <t>Sec.</t>
  </si>
  <si>
    <t>TIPO DE EJECUCION DE OBRA</t>
  </si>
  <si>
    <t>50% de la Direccion</t>
  </si>
  <si>
    <t>Titulo V - Art.1ª</t>
  </si>
  <si>
    <t>f) Interpretacion de Proyecto</t>
  </si>
  <si>
    <t xml:space="preserve">50 % de la Direccion </t>
  </si>
  <si>
    <t>Direccion</t>
  </si>
  <si>
    <t>% de la Direccion (C-1)</t>
  </si>
  <si>
    <t>SUMA TOTAL PROY/DIREC y DIREC. EJEC. Cnt. Separados</t>
  </si>
  <si>
    <t>Depos. e Ind. de baja complej.-Estruc de Hasta 12 mts de Luz, de Hast 6 mts de Alto (con Depend. De Hast 10% de la sup. Total)</t>
  </si>
  <si>
    <t>Depositos que Superen los Parametros del Item 2.1.</t>
  </si>
  <si>
    <t>Industrias que Superen los Parametros del Item 2.1.</t>
  </si>
  <si>
    <t>2,1,1,</t>
  </si>
  <si>
    <t>Alta Complejidad; Laboratorios Industriales</t>
  </si>
  <si>
    <t>Minorista Individual h/50 m2</t>
  </si>
  <si>
    <t>Minorista, Mayorista mayor de 50 a 300 m2</t>
  </si>
  <si>
    <t>Minorista, Mayorista de  mas de 300 m2</t>
  </si>
  <si>
    <t>SUMA TOTAL</t>
  </si>
  <si>
    <t>TAREAS PROFESIONALES</t>
  </si>
  <si>
    <t>PROYECTO y DIRECCION</t>
  </si>
  <si>
    <t>INSPECCION y ENSAYO</t>
  </si>
  <si>
    <t>PROYECTO/DIRECCION y DIREC. EJECUTIVA</t>
  </si>
  <si>
    <t>LUGARES DE TAREA</t>
  </si>
  <si>
    <t>PLAYAS DE ESTACIONAMIENTO, MANIOBRAS Y EST. DE SERVICIO</t>
  </si>
  <si>
    <t>DIRECCION</t>
  </si>
  <si>
    <t>CUIT</t>
  </si>
  <si>
    <t>con domicilio real en</t>
  </si>
  <si>
    <t xml:space="preserve">CUIT </t>
  </si>
  <si>
    <t xml:space="preserve">   y  legal  en la calle</t>
  </si>
  <si>
    <t>, localidad de</t>
  </si>
  <si>
    <t>DEPARTAMENTO</t>
  </si>
  <si>
    <t>LOCALIDAD</t>
  </si>
  <si>
    <t>Sub/Parc.</t>
  </si>
  <si>
    <t>U. Func.</t>
  </si>
  <si>
    <t>Dto.</t>
  </si>
  <si>
    <t>CLAUSULAS ADICIONALES</t>
  </si>
  <si>
    <t>GASTOS EXTRAORDINARIOS Y EL PAGO DE LOS DERECHOS MUNICIPALES A CARGO DEL COMITENTE.</t>
  </si>
  <si>
    <t>Rep.Tec.</t>
  </si>
  <si>
    <t>Inf.Tec.</t>
  </si>
  <si>
    <t>Interp.Proy.</t>
  </si>
  <si>
    <t>PROYECTO Y DIRECCION</t>
  </si>
  <si>
    <t xml:space="preserve">PROYECTO </t>
  </si>
  <si>
    <t xml:space="preserve">DIRECCION </t>
  </si>
  <si>
    <t>DIREC. Y D/EJ</t>
  </si>
  <si>
    <t>c-3) Otras Tareas:</t>
  </si>
  <si>
    <t>NOMBRE DEL REPRESENTANTE QUE FIRMA</t>
  </si>
  <si>
    <t>CARGO QUE OCUPA ( S.G. - Presidente - Apoderado - Titular )</t>
  </si>
  <si>
    <t xml:space="preserve">  TAREAS EN OBRA</t>
  </si>
  <si>
    <t>Obra Nueva</t>
  </si>
  <si>
    <t>Cambio de Techo</t>
  </si>
  <si>
    <t>INTERP.  de PROY.- Y DIRECCION</t>
  </si>
  <si>
    <t>INTERP.  de PROY.- DIRECCION y DIREC. Por Cont. Separados</t>
  </si>
  <si>
    <t>INTERP.  de PROY.- DIRECCION y DIREC. EJECUTIVA</t>
  </si>
  <si>
    <t xml:space="preserve">   </t>
  </si>
  <si>
    <t>CULTURA, ESPECT. Y ESPARto.</t>
  </si>
  <si>
    <t>VIVIENDA UNIFAMILIAR</t>
  </si>
  <si>
    <t>VIVIENDAS MULTIFAMILIARES</t>
  </si>
  <si>
    <t>minimo cualquier tarea frofesional</t>
  </si>
  <si>
    <t>minimo Informe Tecnico de Obra</t>
  </si>
  <si>
    <t>VALOR REFERENCIAL</t>
  </si>
  <si>
    <t>del bien ubicado en la calle :</t>
  </si>
  <si>
    <t>Partido :</t>
  </si>
  <si>
    <t>y legal en :</t>
  </si>
  <si>
    <r>
      <t xml:space="preserve">,en adelante el </t>
    </r>
    <r>
      <rPr>
        <b/>
        <sz val="11"/>
        <color indexed="8"/>
        <rFont val="Arial"/>
        <family val="2"/>
      </rPr>
      <t>COMITENTE</t>
    </r>
    <r>
      <rPr>
        <sz val="11"/>
        <color indexed="8"/>
        <rFont val="Arial"/>
        <family val="2"/>
      </rPr>
      <t xml:space="preserve">  y</t>
    </r>
  </si>
  <si>
    <t>, Mat. Colegio de Tecnicos Nº:</t>
  </si>
  <si>
    <t>con domicilio real :</t>
  </si>
  <si>
    <t>TIPOS DE CONTRATOS</t>
  </si>
  <si>
    <r>
      <t>Artículo 1º</t>
    </r>
    <r>
      <rPr>
        <sz val="11"/>
        <color indexed="8"/>
        <rFont val="Arial"/>
        <family val="2"/>
      </rPr>
      <t xml:space="preserve">: </t>
    </r>
  </si>
  <si>
    <r>
      <t xml:space="preserve">Artículo 2 º </t>
    </r>
    <r>
      <rPr>
        <sz val="11"/>
        <color indexed="8"/>
        <rFont val="Arial"/>
        <family val="2"/>
      </rPr>
      <t xml:space="preserve">: </t>
    </r>
  </si>
  <si>
    <t xml:space="preserve"> Se establece como plazo de vigencia del presente contrato  </t>
  </si>
  <si>
    <t xml:space="preserve"> pactadas, no pudiendo ser el honorario inferior al mínimo vigente en ese momento.</t>
  </si>
  <si>
    <t xml:space="preserve"> Cuando el PROFESIONAL no perciba sus honorarios en los plazos estipulados, se producirá la mora de pleno  derecho y los mismos serán</t>
  </si>
  <si>
    <t xml:space="preserve"> Se deben realizar los aportes profesionales a que obliga la Ley 12.490.</t>
  </si>
  <si>
    <t xml:space="preserve"> El  PROPIETARIO  y  PROFESIONAL,  autorizan  al  Colegio  de  Técnicos  de  la  Provincia  de  Buenos Aires,  a inspeccionar la obra a los fines de </t>
  </si>
  <si>
    <t xml:space="preserve"> Cláusulas, condiciones especiales y observaciones:</t>
  </si>
  <si>
    <t xml:space="preserve">  Este contrato se firma en Cinco (5) ejemplares de igual tenor y a un solo efecto con carácter de :</t>
  </si>
  <si>
    <t xml:space="preserve">  Para todos  los efectos legales  emergentes del presente  Contrato, las partes  constituyen domicilio  legal en los arriba indicados  y  se  someten</t>
  </si>
  <si>
    <t xml:space="preserve"> a   la   Jurisdicción   de   los   tribunales   ordinarios   de:   </t>
  </si>
  <si>
    <t xml:space="preserve"> actualizados en base al  Factor de Corrección establecido por el C.T.P.B.A.-</t>
  </si>
  <si>
    <t xml:space="preserve"> verificar los estados de obra declarados.</t>
  </si>
  <si>
    <t>El Comitente encomienda al Profesional la/s tarea/s de:</t>
  </si>
  <si>
    <t>son :</t>
  </si>
  <si>
    <t>cumpliendo con el decreto arancelario 6964/65 y la Resolucion Colegial Vigente sobre Valores Referenciales.</t>
  </si>
  <si>
    <t>, meses vencido el cual deberan ratificarse o rectificarse las condiciones</t>
  </si>
  <si>
    <r>
      <t xml:space="preserve">, en adelante el </t>
    </r>
    <r>
      <rPr>
        <b/>
        <sz val="11"/>
        <rFont val="Arial"/>
        <family val="2"/>
      </rPr>
      <t>Profesional</t>
    </r>
    <r>
      <rPr>
        <sz val="11"/>
        <rFont val="Arial"/>
        <family val="2"/>
      </rPr>
      <t xml:space="preserve">, se conviene en celebrar  el siguiente contrato </t>
    </r>
    <r>
      <rPr>
        <b/>
        <sz val="11"/>
        <rFont val="Arial"/>
        <family val="2"/>
      </rPr>
      <t>:</t>
    </r>
  </si>
  <si>
    <t>Por las tareas encomendadas en el artículo anterior, el Comitente abonará al  Profesional el honorario convenido que asciende al la suma de :</t>
  </si>
  <si>
    <t xml:space="preserve"> El COMITENTE abonará al PROFESIONAL el honorario establecido conforme a la siguiente FORMA DE PAGO:</t>
  </si>
  <si>
    <t xml:space="preserve"> Teniendo derecho el PROFESIONAL a percibir el honorario correspondiente a las tereas ejecutadas previo a su control colegial.</t>
  </si>
  <si>
    <t>PORCENTAJE FALTANTE DE OBRA</t>
  </si>
  <si>
    <t>MEDICION , PROYECTO y DIRECCION</t>
  </si>
  <si>
    <t>LOTE</t>
  </si>
  <si>
    <t>MEDICION -INFORME TECNICO</t>
  </si>
  <si>
    <t>MEDICION , PROYECTO/DIRECCION y DIREC. EJECUTIVA</t>
  </si>
  <si>
    <t>MEDICION , PROYECTO y DIRECCION EJECUTIVA</t>
  </si>
  <si>
    <t>DEMOLICION y PROYECTO</t>
  </si>
  <si>
    <t>DEMOLICION y DIRECCION</t>
  </si>
  <si>
    <t>DEMOLICION y PROYECTO y DIRECCION</t>
  </si>
  <si>
    <t>DEMOLICION y PROYECTO / DIRECCION y DIREC. Por Cont. Separados</t>
  </si>
  <si>
    <t>DEMOLICION y PROYECTO/DIRECCION y DIREC. EJECUTIVA</t>
  </si>
  <si>
    <t>DEMOLICION y MEDICION , PROYECTO y DIRECCION</t>
  </si>
  <si>
    <t>DEMOLICION y MEDICION , PROYECTO/DIRECCION y DIREC. Por Cont. Separados</t>
  </si>
  <si>
    <t>DEMOLICION y MEDICION , PROYECTO/DIRECCION y DIREC. EJECUTIVA</t>
  </si>
  <si>
    <t>C.E.P</t>
  </si>
  <si>
    <t xml:space="preserve">  MULTIFAMILIAR</t>
  </si>
  <si>
    <t xml:space="preserve">  VIVIENDA</t>
  </si>
  <si>
    <t xml:space="preserve">  INDUSTRIALES Y ALMACENAJE</t>
  </si>
  <si>
    <t xml:space="preserve">  COMERCIO</t>
  </si>
  <si>
    <t xml:space="preserve">  CULTURA, ESPECTALULOS Y ESPARCIMIENTO</t>
  </si>
  <si>
    <t xml:space="preserve">  EDUCACION</t>
  </si>
  <si>
    <t xml:space="preserve">  SALUD</t>
  </si>
  <si>
    <t xml:space="preserve">  BANCOS Y FINANZAS</t>
  </si>
  <si>
    <t xml:space="preserve">  HOTELERIA</t>
  </si>
  <si>
    <t xml:space="preserve">  GASTRONOMIA</t>
  </si>
  <si>
    <t xml:space="preserve">  CULTO, ARQUITECTURA FUNERARIA</t>
  </si>
  <si>
    <t xml:space="preserve">  ESPACIOS URBANOS DESCUBIERTOS</t>
  </si>
  <si>
    <t xml:space="preserve">  ADMINISTRACION</t>
  </si>
  <si>
    <t xml:space="preserve">  DEPORTES Y RECREACION</t>
  </si>
  <si>
    <t xml:space="preserve">  Natatorios</t>
  </si>
  <si>
    <t xml:space="preserve">  Canchas</t>
  </si>
  <si>
    <t xml:space="preserve">  COCHERAS</t>
  </si>
  <si>
    <t xml:space="preserve">  PLAYAS DE ESTACIONAMIENTO, MANIOBRAS Y ESTAC. DE SERVICIO</t>
  </si>
  <si>
    <t xml:space="preserve">  TRANSPORTE</t>
  </si>
  <si>
    <t xml:space="preserve">  ESTRUCTURAS COMUNES PARA EDIFICIOS</t>
  </si>
  <si>
    <t>INFORME TECNICO OCULAR</t>
  </si>
  <si>
    <t xml:space="preserve"> ANEXO  I</t>
  </si>
  <si>
    <t>CONTRIBUCION OBLIGATORIA  Art. 29   (LEY 12490 MODIFICADO POR LEY 13753)</t>
  </si>
  <si>
    <t>RESOLUCIÓN  Nº 297</t>
  </si>
  <si>
    <t xml:space="preserve"> Obra de Arquitectura Categ. 8º</t>
  </si>
  <si>
    <t>MEDICIONES EXCEPTUADAS  DEL Art. 29</t>
  </si>
  <si>
    <t xml:space="preserve">Descripcion de las tareas </t>
  </si>
  <si>
    <t>Exp. Aprobado</t>
  </si>
  <si>
    <t>Prof. Interviniente</t>
  </si>
  <si>
    <t>ESTIMACION DEL VALOR DE OBRA  PARA CALCULO DEL Art. 29 (conforme a los valores referenciales)</t>
  </si>
  <si>
    <t>Según Art.  8º Título VIII (Decreto 6964/65)</t>
  </si>
  <si>
    <t>categ.</t>
  </si>
  <si>
    <t>DETERMINACION DE LA CONTRIBUCIÓN:</t>
  </si>
  <si>
    <t xml:space="preserve">Cálculo según normas arancelarias por Proyecto y Dirección                  </t>
  </si>
  <si>
    <t>% sobre los sig.</t>
  </si>
  <si>
    <t>Cantidad</t>
  </si>
  <si>
    <t>Unid</t>
  </si>
  <si>
    <t>Documentacion que acredita</t>
  </si>
  <si>
    <t>…………/….</t>
  </si>
  <si>
    <t>……………..</t>
  </si>
  <si>
    <t>Otros ………………..</t>
  </si>
  <si>
    <t xml:space="preserve">…………….. </t>
  </si>
  <si>
    <t xml:space="preserve">Data s/Ced. Catastral </t>
  </si>
  <si>
    <t>sup. Cubierta</t>
  </si>
  <si>
    <t xml:space="preserve">m2 a razon de </t>
  </si>
  <si>
    <t xml:space="preserve">sup. </t>
  </si>
  <si>
    <t>% hasta</t>
  </si>
  <si>
    <t>Determinacion Total</t>
  </si>
  <si>
    <t>Contribucion 10%</t>
  </si>
  <si>
    <t>CONTRIBUCION OBLIGATORIA  A CARGO DEL DUEÑO DE LA</t>
  </si>
  <si>
    <t>OBRA O BENEFICIARIO</t>
  </si>
  <si>
    <t>Son Pesos:</t>
  </si>
  <si>
    <t>Aporte de la Contrib. Obligatoria Atr. 29 Ley 12490</t>
  </si>
  <si>
    <t>Boleta Nº</t>
  </si>
  <si>
    <t>Fecha</t>
  </si>
  <si>
    <t>Suc. Bamc.</t>
  </si>
  <si>
    <t>…………………………………………………</t>
  </si>
  <si>
    <t>Firma del Profesional</t>
  </si>
  <si>
    <t>Leg.:</t>
  </si>
  <si>
    <t>Mat.:</t>
  </si>
  <si>
    <t>CUIT:</t>
  </si>
  <si>
    <t>Domicilio:</t>
  </si>
  <si>
    <t>s/Cubierta</t>
  </si>
  <si>
    <t>Piscina</t>
  </si>
  <si>
    <t xml:space="preserve">$/m2 </t>
  </si>
  <si>
    <t xml:space="preserve">TOTAL </t>
  </si>
  <si>
    <t>CORRESPONDIENTE AL CONTRATO CELEBRADO ÉL DIA:</t>
  </si>
  <si>
    <t>ENTRE EL PROFESIONAL:</t>
  </si>
  <si>
    <t>PARA LA OBRA:</t>
  </si>
  <si>
    <t xml:space="preserve"> C) DETERMINACIÓN DEL HONORARIO</t>
  </si>
  <si>
    <t>Descomposición de Honorario</t>
  </si>
  <si>
    <t>Total (D)</t>
  </si>
  <si>
    <t xml:space="preserve">          D-3 ) Demolicion</t>
  </si>
  <si>
    <t>G) Interpretacion de Proyecto</t>
  </si>
  <si>
    <t>H) Representacion Tecnica</t>
  </si>
  <si>
    <t xml:space="preserve">     TOTAL (F )</t>
  </si>
  <si>
    <t>Total (E)</t>
  </si>
  <si>
    <t xml:space="preserve">% de (D-1)  </t>
  </si>
  <si>
    <t>% de (D-2)</t>
  </si>
  <si>
    <t>Total (Proy-Dir.)</t>
  </si>
  <si>
    <t>Total (G)</t>
  </si>
  <si>
    <t>Total (H)</t>
  </si>
  <si>
    <t xml:space="preserve">Honorario base (H / Fc) </t>
  </si>
  <si>
    <r>
      <t>D) Proyecto y Dirección</t>
    </r>
    <r>
      <rPr>
        <sz val="12"/>
        <color indexed="8"/>
        <rFont val="Arial"/>
        <family val="2"/>
      </rPr>
      <t xml:space="preserve"> Cat. S/tabla XVII</t>
    </r>
  </si>
  <si>
    <r>
      <t>E) Mediciones</t>
    </r>
    <r>
      <rPr>
        <sz val="12"/>
        <color indexed="8"/>
        <rFont val="Arial"/>
        <family val="2"/>
      </rPr>
      <t>: Título VIII (exc.  Incs.  C y d)</t>
    </r>
  </si>
  <si>
    <r>
      <t>F) Informe Tecnico</t>
    </r>
    <r>
      <rPr>
        <sz val="12"/>
        <color indexed="8"/>
        <rFont val="Arial"/>
        <family val="2"/>
      </rPr>
      <t xml:space="preserve"> (s/tit.II -art. 5º)</t>
    </r>
  </si>
  <si>
    <t>OBSERVACIONES:</t>
  </si>
  <si>
    <t>VISADO nº</t>
  </si>
  <si>
    <t>(Ht)</t>
  </si>
  <si>
    <t>Honorario convenido (Monto del contrato)     (H)</t>
  </si>
  <si>
    <t>exedente</t>
  </si>
  <si>
    <t xml:space="preserve">CIUDAD </t>
  </si>
  <si>
    <t>NOMBRE DEL COMITENTE ó RAZON SOCIAL</t>
  </si>
  <si>
    <t>CUIT Nº</t>
  </si>
  <si>
    <t xml:space="preserve">MATRICULA </t>
  </si>
  <si>
    <t xml:space="preserve">DOMICILIO LEGAL </t>
  </si>
  <si>
    <t>PARTIDO</t>
  </si>
  <si>
    <t>SISTEMA DE EJECUCION DE OBRA</t>
  </si>
  <si>
    <t>Por administracion (el propietario es el empresario)</t>
  </si>
  <si>
    <t>Por contrato unico, monto global,costos y costas, unidad de medida</t>
  </si>
  <si>
    <r>
      <t xml:space="preserve">  UNIFAMILIARES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(inclusive en viviendas aisladas afectadas a propiedad horizontal)</t>
    </r>
  </si>
  <si>
    <t>En Construcciones de mas de 4 Niveles o Plantas</t>
  </si>
  <si>
    <t>En Construcciones de Hasta 4 Niveles O Plantas</t>
  </si>
  <si>
    <t>Las anteriores (ubicadas en country, barrio privado, club de campo u otras urbanizaciones privadas)</t>
  </si>
  <si>
    <t>1.2.4.</t>
  </si>
  <si>
    <t>1.2.5.</t>
  </si>
  <si>
    <t>SI</t>
  </si>
  <si>
    <t>NO</t>
  </si>
  <si>
    <t xml:space="preserve"> =SI(AD93=0;" ";(SI(Y(AE93=1);"De Categoria B (cumple por lo menos con 1 item)";"  ")))</t>
  </si>
  <si>
    <t>12.3</t>
  </si>
  <si>
    <t>Complejos penitenciarios</t>
  </si>
  <si>
    <t>Playas de expendio cubierta y semi Cubierta</t>
  </si>
  <si>
    <t xml:space="preserve">Playas de expendio descubierta </t>
  </si>
  <si>
    <t>LEGAJO DE CAJA</t>
  </si>
  <si>
    <t>i) Representacion Tecnica</t>
  </si>
  <si>
    <t xml:space="preserve"> ) </t>
  </si>
  <si>
    <t xml:space="preserve">N° </t>
  </si>
  <si>
    <t>ITEM</t>
  </si>
  <si>
    <t>OBSERVACIONES</t>
  </si>
  <si>
    <t>Prep. del terreno, replanteo y excavaciones</t>
  </si>
  <si>
    <t>Mamp. de cimientos y elevacion</t>
  </si>
  <si>
    <t>Capa aisladora horizontal</t>
  </si>
  <si>
    <t>Cubierta de techos</t>
  </si>
  <si>
    <t>Revoque grueso y/o impermeable</t>
  </si>
  <si>
    <t>Contrapisos</t>
  </si>
  <si>
    <t>Instalacion sanitaria</t>
  </si>
  <si>
    <t>Cloaca</t>
  </si>
  <si>
    <t xml:space="preserve">Agua fria </t>
  </si>
  <si>
    <t>Agua caliente</t>
  </si>
  <si>
    <t>Instalacion de gas</t>
  </si>
  <si>
    <t>Instalacion electrica</t>
  </si>
  <si>
    <t>Cañerias</t>
  </si>
  <si>
    <t>Llaves y conductores</t>
  </si>
  <si>
    <t>Cielorrasos</t>
  </si>
  <si>
    <t>Revoques finos y/o frentes</t>
  </si>
  <si>
    <t>Carpinteria</t>
  </si>
  <si>
    <t>Marcos</t>
  </si>
  <si>
    <t>Herreria</t>
  </si>
  <si>
    <t>Pintura</t>
  </si>
  <si>
    <t>Vidrios</t>
  </si>
  <si>
    <t>Cercos y veredas</t>
  </si>
  <si>
    <t>Detalles varios de terminacion</t>
  </si>
  <si>
    <t xml:space="preserve">POR CONSIGUIENTE EL TRABAJO REALIZADO EN OBRA ASCIENDEA A: </t>
  </si>
  <si>
    <t>El Profesional declara bajo juramernto que la presente Acta de Estado de Obra ha sido cumplimentada</t>
  </si>
  <si>
    <t xml:space="preserve">El Propietario y el Profesional autorizan al Colegio de Técnicos de la Pcia de Bs. As. a inspeccionar la </t>
  </si>
  <si>
    <t>Propietario</t>
  </si>
  <si>
    <t>Profesional</t>
  </si>
  <si>
    <t xml:space="preserve">PROPIETARIO:   </t>
  </si>
  <si>
    <t xml:space="preserve">DOMICILIO DEL PROPIETARIO:   </t>
  </si>
  <si>
    <t xml:space="preserve">PROFESIONAL:   </t>
  </si>
  <si>
    <t xml:space="preserve">MATRICULA:   </t>
  </si>
  <si>
    <t xml:space="preserve">DOMICILIO DEL PROFESIONAL:   </t>
  </si>
  <si>
    <t>……………………………………………</t>
  </si>
  <si>
    <t>………………………………………</t>
  </si>
  <si>
    <t xml:space="preserve">Lugar y Fecha:  </t>
  </si>
  <si>
    <t>%  ITEM</t>
  </si>
  <si>
    <t>LOCALIDAD:</t>
  </si>
  <si>
    <t>% FALTANTE</t>
  </si>
  <si>
    <t xml:space="preserve">DIRECCION DE LA OBRA:   </t>
  </si>
  <si>
    <t>COLEGIO DE TECNICOS DE LA</t>
  </si>
  <si>
    <t>PROVINCIA DE BUENOS AIRES</t>
  </si>
  <si>
    <t>LEY 10411</t>
  </si>
  <si>
    <t>Obra a los fines de verificar los Estados de Obra declarados.</t>
  </si>
  <si>
    <t xml:space="preserve">  responsable de la terminacion de los trabajos </t>
  </si>
  <si>
    <t xml:space="preserve"> de acuerdo a los hechos existentes realizados a la fecha, y </t>
  </si>
  <si>
    <t xml:space="preserve">Estructura </t>
  </si>
  <si>
    <t>Revestimientos de baños y cocinas</t>
  </si>
  <si>
    <t>Artefactos de baños y cocinas</t>
  </si>
  <si>
    <t>Piso ( de todo tipo) y zocalos</t>
  </si>
  <si>
    <t>Hojas y herrajes</t>
  </si>
  <si>
    <r>
      <t xml:space="preserve">ACTA  DE  ESTADO  DE  OBRA  </t>
    </r>
    <r>
      <rPr>
        <b/>
        <u val="single"/>
        <sz val="12"/>
        <rFont val="Verdana"/>
        <family val="2"/>
      </rPr>
      <t>(Res. 203/97)</t>
    </r>
  </si>
  <si>
    <t xml:space="preserve">  faltantes por la tarea de Proyecto y Direccion </t>
  </si>
  <si>
    <t>% EJECUT.  DEL ITEM</t>
  </si>
  <si>
    <t>% faltante de obra</t>
  </si>
  <si>
    <t xml:space="preserve"> Y DIRECCION POR CONTRATOS SEPARADOS ( administracion )</t>
  </si>
  <si>
    <t>TAREA DE DIRECCION</t>
  </si>
  <si>
    <t>CATEGORIZACION DE VIVIENDAS UNIFAMILIARES</t>
  </si>
  <si>
    <t>PROPIETARIO:</t>
  </si>
  <si>
    <t>DIRECCION DE LA OBRA:</t>
  </si>
  <si>
    <t>DATOS CATASTRALES:</t>
  </si>
  <si>
    <t>CIRC.</t>
  </si>
  <si>
    <t>SEC.</t>
  </si>
  <si>
    <t>MANZ.</t>
  </si>
  <si>
    <t>PARC.</t>
  </si>
  <si>
    <t>UF</t>
  </si>
  <si>
    <t>PROFESIONAL:</t>
  </si>
  <si>
    <t>TITULO:</t>
  </si>
  <si>
    <t>MATRICULA:</t>
  </si>
  <si>
    <t>CATEGORIA  :</t>
  </si>
  <si>
    <t xml:space="preserve">LA PRESENTE TIENE CARÁCTER DE DECLARACION JURADA, PARA LA DETERMINACION DEL VALOR DE OBRA EN JUEGO POR  METRO CUADRADO </t>
  </si>
  <si>
    <t>……………………………………………….</t>
  </si>
  <si>
    <t>PROPIETARIO</t>
  </si>
  <si>
    <t>PROFESIONAL</t>
  </si>
  <si>
    <t>C/Techo - M/Int.</t>
  </si>
  <si>
    <t>Ampliacion a Construir</t>
  </si>
  <si>
    <t>Ampliacion a Regularizar</t>
  </si>
  <si>
    <t>Ampl. a Regularizar -  Camb. De Techo -Mod. Interna</t>
  </si>
  <si>
    <t>Ampl. a Regularizar -  Camb. De Techo</t>
  </si>
  <si>
    <t>Ampl. a Regularizar -  Mod. Interna</t>
  </si>
  <si>
    <t>Demolicion y Obra Nueva</t>
  </si>
  <si>
    <t>Demolicion y Ampliacion a construir</t>
  </si>
  <si>
    <t xml:space="preserve">Ampl. a Regularizar  </t>
  </si>
  <si>
    <t>Demolicion y Ampliacion a regularizar</t>
  </si>
  <si>
    <t xml:space="preserve">Ampl. a Construir - Ampl. a Regularizar </t>
  </si>
  <si>
    <t>Ampl. a Construir - Ampl. a Regularizar -  Camb. De Techo - Mod. Interna</t>
  </si>
  <si>
    <t>Modificacion Interna</t>
  </si>
  <si>
    <t>Ampl. a Construir - Ampl. a Regularizar  - Mod. Interna</t>
  </si>
  <si>
    <t xml:space="preserve">Ampl. a Construir - Ampl. a Regularizar - Camb. De Techo </t>
  </si>
  <si>
    <t>minimo de medicion categoria "A"</t>
  </si>
  <si>
    <t>DE CATEGORIA "A"</t>
  </si>
  <si>
    <t>CATEGORIAA  "B" - "C" - "D" - "E"</t>
  </si>
  <si>
    <t>DE CATEGORIAS - B  - C - D - E</t>
  </si>
  <si>
    <t>DE CATEGORIA - A -</t>
  </si>
  <si>
    <t>minimo de medicion categorias B - C - D - E</t>
  </si>
  <si>
    <r>
      <t xml:space="preserve">Observaciones </t>
    </r>
    <r>
      <rPr>
        <sz val="11"/>
        <color indexed="8"/>
        <rFont val="Arial"/>
        <family val="2"/>
      </rPr>
      <t xml:space="preserve">: </t>
    </r>
  </si>
  <si>
    <t>MEDICION / INFORME TECNICO</t>
  </si>
  <si>
    <t>FECHA CONTRATO AMPLIATORIO</t>
  </si>
  <si>
    <t xml:space="preserve">, el dia </t>
  </si>
  <si>
    <t>AMPLIATORIO</t>
  </si>
  <si>
    <t>REAJUSTE</t>
  </si>
  <si>
    <t>CEP</t>
  </si>
  <si>
    <t>ART.29</t>
  </si>
  <si>
    <t>DIBUJO Y COPIAS</t>
  </si>
  <si>
    <t>I. BRUTOS</t>
  </si>
  <si>
    <t>TOTAL DE GASTOS</t>
  </si>
  <si>
    <t>MONTO DEL CONTRATO</t>
  </si>
  <si>
    <t>Regularizacion de Obra Existente</t>
  </si>
  <si>
    <t>modificacion interna por computo y presupuesto --------</t>
  </si>
  <si>
    <t>cambio de techo por computo y presupuesto   --------</t>
  </si>
  <si>
    <t>Honor. total s/decr. 6964/65 (d1+d2+d3+e+f+g+h)</t>
  </si>
  <si>
    <t>Croquis para Habilitacion</t>
  </si>
  <si>
    <t>Valor minimo para cualquier tarea profesional</t>
  </si>
  <si>
    <t>minimo</t>
  </si>
  <si>
    <t>i) Croquis para habilitacion</t>
  </si>
  <si>
    <t>CROQUIS PARA HABILITACION</t>
  </si>
  <si>
    <t>R-115U</t>
  </si>
  <si>
    <t>Datos del Contribuyente</t>
  </si>
  <si>
    <t>Apellido / Razon Social</t>
  </si>
  <si>
    <t>CUIT / CUIL / CDI</t>
  </si>
  <si>
    <t>Domicilio Fiscal</t>
  </si>
  <si>
    <t>Calle</t>
  </si>
  <si>
    <t>Número</t>
  </si>
  <si>
    <t>S/N</t>
  </si>
  <si>
    <t>Ruta</t>
  </si>
  <si>
    <t>Km</t>
  </si>
  <si>
    <t>Torre</t>
  </si>
  <si>
    <t>Piso</t>
  </si>
  <si>
    <t>Dpto</t>
  </si>
  <si>
    <t>Manzana</t>
  </si>
  <si>
    <t>Provincia</t>
  </si>
  <si>
    <t>C.Postal</t>
  </si>
  <si>
    <t>Partido</t>
  </si>
  <si>
    <t>Localidad</t>
  </si>
  <si>
    <t>Telefono</t>
  </si>
  <si>
    <t>-</t>
  </si>
  <si>
    <t>Fax</t>
  </si>
  <si>
    <t>E-mail</t>
  </si>
  <si>
    <t>Observaciones</t>
  </si>
  <si>
    <t>Ubicación de la Producción, Bien o Servicio</t>
  </si>
  <si>
    <r>
      <t xml:space="preserve">                                                                                 El presente formulario se emite en 2 ejemplares - Normativa: </t>
    </r>
    <r>
      <rPr>
        <b/>
        <sz val="8"/>
        <color indexed="10"/>
        <rFont val="Arial"/>
        <family val="2"/>
      </rPr>
      <t>DN B 05-07</t>
    </r>
  </si>
  <si>
    <t>BS. AS.</t>
  </si>
  <si>
    <t xml:space="preserve">El que suscribe </t>
  </si>
  <si>
    <t>, con DNI nº</t>
  </si>
  <si>
    <t xml:space="preserve">ne su carácter de </t>
  </si>
  <si>
    <t>Firma</t>
  </si>
  <si>
    <t>declara que</t>
  </si>
  <si>
    <t xml:space="preserve">los datos consignados en este documento son correctos y </t>
  </si>
  <si>
    <t>completos, y que esta declaracion se ha confeccionado sin</t>
  </si>
  <si>
    <r>
      <t xml:space="preserve">cionado sin omitir ni falcear dato alguno que deba contener, </t>
    </r>
    <r>
      <rPr>
        <sz val="10"/>
        <rFont val="Arial"/>
        <family val="2"/>
      </rPr>
      <t xml:space="preserve"> </t>
    </r>
  </si>
  <si>
    <t>siendo fiel expresion de la expresion de la verdad.</t>
  </si>
  <si>
    <t>Nº</t>
  </si>
  <si>
    <t>C.P.</t>
  </si>
  <si>
    <t xml:space="preserve">DOMICILIO REAL CALLE, Nº y LOCALIDAD </t>
  </si>
  <si>
    <t>24 Meses</t>
  </si>
  <si>
    <t>CATASTRALES</t>
  </si>
  <si>
    <t>1.6</t>
  </si>
  <si>
    <t>FACTOR DE CORRECCION DEL CONTRATO ORIGINAL</t>
  </si>
  <si>
    <t>VALOR ACTUALIZADO</t>
  </si>
  <si>
    <t>F.C.</t>
  </si>
  <si>
    <t xml:space="preserve">VALOR ACTUALIZADO </t>
  </si>
  <si>
    <t xml:space="preserve"> ----------</t>
  </si>
  <si>
    <t xml:space="preserve">m2 C. Techo 30% </t>
  </si>
  <si>
    <t xml:space="preserve">m2 M. Interna 50% </t>
  </si>
  <si>
    <t>Monto de Obra en pesos</t>
  </si>
  <si>
    <t>Cambio de techo por computo y presupuesto en pesos</t>
  </si>
  <si>
    <t>Modificacion interna por computo y presupuesto en pesos</t>
  </si>
  <si>
    <t>Cambio de techo por computo y presupuesto en pasos</t>
  </si>
  <si>
    <t>CARPETA MUNICIPAL</t>
  </si>
  <si>
    <t>APORTE CAJA CAAITBA</t>
  </si>
  <si>
    <t>TIMBRADO COLEGIAL CONTRATO</t>
  </si>
  <si>
    <t>INGRESOS BRUTOS</t>
  </si>
  <si>
    <t>Proy. Dir. y Dir. Por Cont. Separados</t>
  </si>
  <si>
    <t>Med.- Proy. Dir. y Dir. Por Cont. Separados</t>
  </si>
  <si>
    <t>CALLE DE LA OBRA</t>
  </si>
  <si>
    <t xml:space="preserve"> De Mod. Interna</t>
  </si>
  <si>
    <t xml:space="preserve"> De Cambio de Techo</t>
  </si>
  <si>
    <t xml:space="preserve"> 1.-</t>
  </si>
  <si>
    <t xml:space="preserve"> 1.1.1.-</t>
  </si>
  <si>
    <t xml:space="preserve"> 1.2.-</t>
  </si>
  <si>
    <t xml:space="preserve"> 1.2.1.-</t>
  </si>
  <si>
    <t xml:space="preserve"> 1.2.2.-</t>
  </si>
  <si>
    <t xml:space="preserve"> 1.2.3.-</t>
  </si>
  <si>
    <t xml:space="preserve"> 1.2.4.-</t>
  </si>
  <si>
    <t xml:space="preserve"> 1.2.5.-</t>
  </si>
  <si>
    <t xml:space="preserve"> 1.3.-</t>
  </si>
  <si>
    <t xml:space="preserve"> 1.3.1.-</t>
  </si>
  <si>
    <t xml:space="preserve"> 1.3.2.-</t>
  </si>
  <si>
    <t xml:space="preserve"> 1.3.3.-</t>
  </si>
  <si>
    <t xml:space="preserve"> 1.6.1-</t>
  </si>
  <si>
    <t xml:space="preserve"> 1.6.2-</t>
  </si>
  <si>
    <t xml:space="preserve"> 2.1.-</t>
  </si>
  <si>
    <t xml:space="preserve"> 2.1.1-</t>
  </si>
  <si>
    <t xml:space="preserve"> 2.2.-</t>
  </si>
  <si>
    <t xml:space="preserve"> 2.3.-</t>
  </si>
  <si>
    <t xml:space="preserve"> 2.4.-</t>
  </si>
  <si>
    <t xml:space="preserve"> 2.5.-</t>
  </si>
  <si>
    <t xml:space="preserve"> 2.6.1</t>
  </si>
  <si>
    <t xml:space="preserve"> 2.6.2-</t>
  </si>
  <si>
    <t xml:space="preserve"> 2.6.3-</t>
  </si>
  <si>
    <t xml:space="preserve"> 3.1.-</t>
  </si>
  <si>
    <t xml:space="preserve"> 3.2.-</t>
  </si>
  <si>
    <t xml:space="preserve"> 3.3.-</t>
  </si>
  <si>
    <t xml:space="preserve"> 3.6.-</t>
  </si>
  <si>
    <t xml:space="preserve"> 4.1.-</t>
  </si>
  <si>
    <t xml:space="preserve"> 4.2.-</t>
  </si>
  <si>
    <t xml:space="preserve"> 4.3.-</t>
  </si>
  <si>
    <t xml:space="preserve"> 4.4.-</t>
  </si>
  <si>
    <t xml:space="preserve"> 4.5.-</t>
  </si>
  <si>
    <t xml:space="preserve"> 4.6.-</t>
  </si>
  <si>
    <t xml:space="preserve"> 4.7.-</t>
  </si>
  <si>
    <t xml:space="preserve"> 4.8.-</t>
  </si>
  <si>
    <t xml:space="preserve"> 5.1.-</t>
  </si>
  <si>
    <t xml:space="preserve"> 5.2.-</t>
  </si>
  <si>
    <t xml:space="preserve"> 5.3.-</t>
  </si>
  <si>
    <t xml:space="preserve"> 6.1.-</t>
  </si>
  <si>
    <t xml:space="preserve"> 6.2.-</t>
  </si>
  <si>
    <t xml:space="preserve"> 6.3.-</t>
  </si>
  <si>
    <t xml:space="preserve"> 7.1.-</t>
  </si>
  <si>
    <t xml:space="preserve"> 8.1.-</t>
  </si>
  <si>
    <t xml:space="preserve"> 8.2.-</t>
  </si>
  <si>
    <t xml:space="preserve"> 8.3.-</t>
  </si>
  <si>
    <t xml:space="preserve"> 8.4.-</t>
  </si>
  <si>
    <t xml:space="preserve"> 9.1.-</t>
  </si>
  <si>
    <t xml:space="preserve"> 9.2.-</t>
  </si>
  <si>
    <t xml:space="preserve"> 9.3.-</t>
  </si>
  <si>
    <t xml:space="preserve"> 10.1.-</t>
  </si>
  <si>
    <t xml:space="preserve"> 10.2.-</t>
  </si>
  <si>
    <t xml:space="preserve"> 10.4.-</t>
  </si>
  <si>
    <t xml:space="preserve"> 10.5.-</t>
  </si>
  <si>
    <t xml:space="preserve"> 10.5.1-.</t>
  </si>
  <si>
    <t xml:space="preserve"> 10.5.2.-</t>
  </si>
  <si>
    <t xml:space="preserve"> 10.5.3.-</t>
  </si>
  <si>
    <t xml:space="preserve"> 11.1.-</t>
  </si>
  <si>
    <t xml:space="preserve"> 11.2.-</t>
  </si>
  <si>
    <t xml:space="preserve"> 11.3.-</t>
  </si>
  <si>
    <t xml:space="preserve"> 11.3.1.-</t>
  </si>
  <si>
    <t xml:space="preserve"> 11.3.2.-</t>
  </si>
  <si>
    <t xml:space="preserve"> 11.3.3.-</t>
  </si>
  <si>
    <t xml:space="preserve"> 12.1.-</t>
  </si>
  <si>
    <t xml:space="preserve"> 12.2.-</t>
  </si>
  <si>
    <t xml:space="preserve"> 13.1.-</t>
  </si>
  <si>
    <t xml:space="preserve"> 13.2.1.-</t>
  </si>
  <si>
    <t xml:space="preserve"> 13.2.2.-</t>
  </si>
  <si>
    <t xml:space="preserve"> 13.2.3.-</t>
  </si>
  <si>
    <t xml:space="preserve"> 13.2.4.-</t>
  </si>
  <si>
    <t xml:space="preserve"> 13.2.5.-</t>
  </si>
  <si>
    <t xml:space="preserve"> 13.3.-</t>
  </si>
  <si>
    <t xml:space="preserve"> 13.3.1.-</t>
  </si>
  <si>
    <t xml:space="preserve"> 13.3.2.-</t>
  </si>
  <si>
    <t xml:space="preserve"> 13.4.-</t>
  </si>
  <si>
    <t xml:space="preserve"> 13.5.-</t>
  </si>
  <si>
    <t xml:space="preserve"> 13.5.1-</t>
  </si>
  <si>
    <t xml:space="preserve"> 13.5.2.-</t>
  </si>
  <si>
    <t xml:space="preserve"> 14.1.-</t>
  </si>
  <si>
    <t xml:space="preserve"> 14.2.-</t>
  </si>
  <si>
    <t xml:space="preserve"> 14.3.-</t>
  </si>
  <si>
    <t xml:space="preserve"> 14.4.-</t>
  </si>
  <si>
    <t xml:space="preserve"> 15.1.-</t>
  </si>
  <si>
    <t xml:space="preserve"> 15.2.1.-</t>
  </si>
  <si>
    <t xml:space="preserve"> 15.2.2.-</t>
  </si>
  <si>
    <t xml:space="preserve"> 16.1.-</t>
  </si>
  <si>
    <t xml:space="preserve"> 16.2.-</t>
  </si>
  <si>
    <t xml:space="preserve"> 17.1.-</t>
  </si>
  <si>
    <t xml:space="preserve"> 17.2.-</t>
  </si>
  <si>
    <t>,</t>
  </si>
  <si>
    <t>INGRESO DE DATOS</t>
  </si>
  <si>
    <r>
      <t xml:space="preserve"> Con la direccion el numero y la localidad se obtienen los datos catastrales  En la pagina "</t>
    </r>
    <r>
      <rPr>
        <sz val="20"/>
        <rFont val="Arial"/>
        <family val="2"/>
      </rPr>
      <t>www.carto.arba.gov.ar</t>
    </r>
    <r>
      <rPr>
        <sz val="11"/>
        <rFont val="Arial"/>
        <family val="2"/>
      </rPr>
      <t>"</t>
    </r>
  </si>
  <si>
    <t>C.U.I.T. Nº</t>
  </si>
  <si>
    <t xml:space="preserve">C.U.I.T. Nº </t>
  </si>
  <si>
    <t>PLANILLA ANEXA</t>
  </si>
  <si>
    <t xml:space="preserve">EN LA CIUDAD DE </t>
  </si>
  <si>
    <t xml:space="preserve">EL DIA </t>
  </si>
  <si>
    <t>ENTRE</t>
  </si>
  <si>
    <t>DEL BIEN UBICADO EN CALLE</t>
  </si>
  <si>
    <t xml:space="preserve">DEL PARTIDO DE </t>
  </si>
  <si>
    <t>NOM. CATASTRAL</t>
  </si>
  <si>
    <t>a) SiISTEMA DE EJECUCION DE OBRA:</t>
  </si>
  <si>
    <t>SECC.:</t>
  </si>
  <si>
    <t>CIRC.:</t>
  </si>
  <si>
    <t>MANZ.:</t>
  </si>
  <si>
    <t>PARC.:</t>
  </si>
  <si>
    <t>SUBPAR.</t>
  </si>
  <si>
    <t>FRAC/CHAC/QTA:</t>
  </si>
  <si>
    <t>U. FUNC.</t>
  </si>
  <si>
    <t>DTO.</t>
  </si>
  <si>
    <t>Y EL PROFESIONAL</t>
  </si>
  <si>
    <t xml:space="preserve">CON TITULO DE </t>
  </si>
  <si>
    <t>50 % AL INICIO DEL TRABAJO</t>
  </si>
  <si>
    <t>30 AL MONENTO DE FIRMA DE LA DOCUMENTACION</t>
  </si>
  <si>
    <t>RESTO S/AVANCE DE OBRA</t>
  </si>
  <si>
    <t>gl</t>
  </si>
  <si>
    <t>ARTICULO 14º</t>
  </si>
  <si>
    <r>
      <t xml:space="preserve">Artículo 3º </t>
    </r>
    <r>
      <rPr>
        <sz val="10"/>
        <color indexed="8"/>
        <rFont val="Arial"/>
        <family val="2"/>
      </rPr>
      <t xml:space="preserve">: </t>
    </r>
  </si>
  <si>
    <r>
      <t>Artículo 4</t>
    </r>
    <r>
      <rPr>
        <sz val="10"/>
        <color indexed="8"/>
        <rFont val="Arial"/>
        <family val="2"/>
      </rPr>
      <t xml:space="preserve">º : </t>
    </r>
  </si>
  <si>
    <r>
      <t xml:space="preserve">Artículo 5º </t>
    </r>
    <r>
      <rPr>
        <sz val="10"/>
        <color indexed="8"/>
        <rFont val="Arial"/>
        <family val="2"/>
      </rPr>
      <t xml:space="preserve">: </t>
    </r>
  </si>
  <si>
    <r>
      <t xml:space="preserve">Artículo 6º </t>
    </r>
    <r>
      <rPr>
        <sz val="10"/>
        <color indexed="8"/>
        <rFont val="Arial"/>
        <family val="2"/>
      </rPr>
      <t xml:space="preserve">: </t>
    </r>
  </si>
  <si>
    <r>
      <t xml:space="preserve">Artículo 7º </t>
    </r>
    <r>
      <rPr>
        <sz val="10"/>
        <color indexed="8"/>
        <rFont val="Arial"/>
        <family val="2"/>
      </rPr>
      <t xml:space="preserve">: </t>
    </r>
  </si>
  <si>
    <r>
      <t xml:space="preserve">Artículo 8º </t>
    </r>
    <r>
      <rPr>
        <sz val="10"/>
        <color indexed="8"/>
        <rFont val="Arial"/>
        <family val="2"/>
      </rPr>
      <t xml:space="preserve">:   </t>
    </r>
  </si>
  <si>
    <r>
      <t>Artículo 9</t>
    </r>
    <r>
      <rPr>
        <sz val="10"/>
        <color indexed="8"/>
        <rFont val="Arial"/>
        <family val="2"/>
      </rPr>
      <t>º :</t>
    </r>
  </si>
  <si>
    <r>
      <t xml:space="preserve">Artículo 10º </t>
    </r>
    <r>
      <rPr>
        <sz val="10"/>
        <color indexed="8"/>
        <rFont val="Arial"/>
        <family val="2"/>
      </rPr>
      <t xml:space="preserve">: </t>
    </r>
  </si>
  <si>
    <t>b) ESTIMACION DEL VALOR DE OBRA:</t>
  </si>
  <si>
    <t>UNIDAD FUNCIONAL</t>
  </si>
  <si>
    <t>FRAC/CHAC/QTA.</t>
  </si>
  <si>
    <t xml:space="preserve">         b-2) Según Art.19 Título  VIII   (MEDICIONES)</t>
  </si>
  <si>
    <t>DEP-</t>
  </si>
  <si>
    <t>Nomenclatura Catastral</t>
  </si>
  <si>
    <r>
      <t xml:space="preserve"> El  PROPIETARIO debera notificar al  PROFESIONAL   en forma </t>
    </r>
    <r>
      <rPr>
        <u val="single"/>
        <sz val="9"/>
        <rFont val="Arial"/>
        <family val="2"/>
      </rPr>
      <t>FEHACIENTE</t>
    </r>
    <r>
      <rPr>
        <sz val="9"/>
        <rFont val="Arial"/>
        <family val="2"/>
      </rPr>
      <t xml:space="preserve"> del comienzo de la obra por medio de carta documento, telegrama, o similar.</t>
    </r>
  </si>
  <si>
    <t>MARQUE  CON  "SI"  las tareas que realiza</t>
  </si>
  <si>
    <t>#</t>
  </si>
  <si>
    <t xml:space="preserve"> =SI('INGRESO DE DATOS'!G63="si";"Y DIRECCION EJECUTIVA 50 - 30%";SI(Y('INGRESO DE DATOS'!G65="SI";'INGRESO DE DATOS'!G63:K63="si";"Y DIRECCION EJECUTIVA 60 - 40%";" "))</t>
  </si>
  <si>
    <t xml:space="preserve"> 50-30</t>
  </si>
  <si>
    <t xml:space="preserve"> 60-40</t>
  </si>
  <si>
    <t xml:space="preserve">         b-1) Según Art.       Título VIII   (PROYECTO Y DIRECCION DE OBRAS)</t>
  </si>
  <si>
    <t>Total</t>
  </si>
  <si>
    <t>……………………./.</t>
  </si>
  <si>
    <t xml:space="preserve"> PISCINAS</t>
  </si>
  <si>
    <t>PISCINAS Las no comprendidas en el item 1.6.1</t>
  </si>
  <si>
    <t>bruno.leandro147@gmail.com</t>
  </si>
  <si>
    <t xml:space="preserve"> -CROQUIS P/HABILITACION</t>
  </si>
  <si>
    <t xml:space="preserve"> -MEDICION (Incluido Inf. Técico como DD. JJ.),</t>
  </si>
  <si>
    <r>
      <t xml:space="preserve"> -</t>
    </r>
    <r>
      <rPr>
        <b/>
        <sz val="10"/>
        <color indexed="8"/>
        <rFont val="Arial Narrow"/>
        <family val="2"/>
      </rPr>
      <t>PROYECTO.</t>
    </r>
  </si>
  <si>
    <t xml:space="preserve"> -DIRECCION.</t>
  </si>
  <si>
    <t xml:space="preserve"> -INTERPR. de PROYECTO.</t>
  </si>
  <si>
    <t xml:space="preserve"> -INFORME  TECNICO.</t>
  </si>
  <si>
    <t xml:space="preserve"> -INFORME TECNICO. (Inciso "A" +"B") </t>
  </si>
  <si>
    <t xml:space="preserve"> -REPR. TECNICA</t>
  </si>
  <si>
    <t>m2 Cub.</t>
  </si>
  <si>
    <t xml:space="preserve"> =SI(F21&gt;0;SI('INGRESO DE DATOS'!I100&gt;0,1;B60*E60*F60*0,085*0,16*1,4;);0)</t>
  </si>
  <si>
    <t>TOTALES</t>
  </si>
  <si>
    <t>OTROS</t>
  </si>
  <si>
    <t>ESTAADO DE LA DEMOLICION</t>
  </si>
  <si>
    <t>Por estado</t>
  </si>
  <si>
    <t>Valor Obra de demolicion</t>
  </si>
  <si>
    <t>Proximos</t>
  </si>
  <si>
    <t>8.5%</t>
  </si>
  <si>
    <r>
      <t xml:space="preserve">Honorario igual al </t>
    </r>
    <r>
      <rPr>
        <sz val="14"/>
        <rFont val="Arial"/>
        <family val="2"/>
      </rPr>
      <t xml:space="preserve">16% </t>
    </r>
    <r>
      <rPr>
        <sz val="10"/>
        <rFont val="Arial"/>
        <family val="2"/>
      </rPr>
      <t>del Proy. Dir. Y Dir. Ejecutiva</t>
    </r>
  </si>
  <si>
    <t xml:space="preserve"> Valor de Obra a DEMOLER</t>
  </si>
  <si>
    <t>POR Estado</t>
  </si>
  <si>
    <t>DEL HONORARIO</t>
  </si>
  <si>
    <t>Valor de Obra PROYECTO (b-1)</t>
  </si>
  <si>
    <t>PISCINA Constr. Hº Aº, revest., c/equipo de bombeo</t>
  </si>
  <si>
    <t>De Categoria A (no cumple con ningun item)</t>
  </si>
  <si>
    <t>ELEGIR EL ESTADO DE LA OBRA A DEMOLER</t>
  </si>
  <si>
    <t>De Categoria B (cumple por lo menos con 1 item)</t>
  </si>
  <si>
    <t>De Categoria C (cumple por lo menos con 2 item)</t>
  </si>
  <si>
    <t>De Categoria D (cumple por lo menos con 3 item)</t>
  </si>
  <si>
    <t>De Categoria E (cumple por lo menos con 4 item)</t>
  </si>
  <si>
    <t xml:space="preserve">LIQUIDACION DEL Art. 29 </t>
  </si>
  <si>
    <t xml:space="preserve"> -PROY,-DIRECCION DE LA DEMOLICION</t>
  </si>
  <si>
    <t xml:space="preserve"> -DIREC. P/CONTR. SEP. DE LA DEMOLICION</t>
  </si>
  <si>
    <t>m2 a Demoler</t>
  </si>
  <si>
    <t>m2 Semicub.</t>
  </si>
  <si>
    <t>Proy-Med</t>
  </si>
  <si>
    <t>Demol.</t>
  </si>
  <si>
    <t>m2 Espejo de Agua</t>
  </si>
  <si>
    <t>CONTRATO PARA OBRAS CIVILES</t>
  </si>
  <si>
    <t>FECHA</t>
  </si>
  <si>
    <t xml:space="preserve"> Honorario MINIMO</t>
  </si>
  <si>
    <t>REPRESENTACION TECNICA DE EMPRESAS</t>
  </si>
  <si>
    <t>DIFERENCI  AMPLIATORIO</t>
  </si>
  <si>
    <t>proy falt de med</t>
  </si>
  <si>
    <t xml:space="preserve"> -DIRECCION POR CONTRATOS SEPARADOS</t>
  </si>
  <si>
    <t xml:space="preserve">V. O. TOTAL DEL PROYECTO       </t>
  </si>
  <si>
    <t xml:space="preserve"> V. O.  TOTAL de la DEMOLICION  </t>
  </si>
  <si>
    <t xml:space="preserve">TOTAL (b-1)      </t>
  </si>
  <si>
    <t>Valor de Obra TOAL (b-1)</t>
  </si>
  <si>
    <t>Mat.</t>
  </si>
  <si>
    <r>
      <t xml:space="preserve">cuando aparezca cartel de </t>
    </r>
    <r>
      <rPr>
        <b/>
        <sz val="12"/>
        <rFont val="Arial"/>
        <family val="2"/>
      </rPr>
      <t>advertencia de seguridad</t>
    </r>
    <r>
      <rPr>
        <sz val="12"/>
        <rFont val="Arial"/>
        <family val="2"/>
      </rPr>
      <t xml:space="preserve"> "las macros se han deshabilitado"</t>
    </r>
  </si>
  <si>
    <t>opciones</t>
  </si>
  <si>
    <r>
      <t xml:space="preserve">poner </t>
    </r>
    <r>
      <rPr>
        <b/>
        <sz val="12"/>
        <rFont val="Arial"/>
        <family val="2"/>
      </rPr>
      <t>habilitar este contenido  - aceptar</t>
    </r>
  </si>
  <si>
    <r>
      <rPr>
        <sz val="14"/>
        <rFont val="Arial"/>
        <family val="2"/>
      </rPr>
      <t xml:space="preserve">luego se debe llenar </t>
    </r>
    <r>
      <rPr>
        <b/>
        <sz val="14"/>
        <rFont val="Arial"/>
        <family val="2"/>
      </rPr>
      <t xml:space="preserve">PLANILLA INGRESO DE DATOS </t>
    </r>
  </si>
  <si>
    <t>LAS CELDAS VERDES DEBEN ESTAR TODAS CON LOS DATOS REQUERIDOS</t>
  </si>
  <si>
    <t>VERIFIQUE LOS DATOS CATASTRALES ANTES DE CONTINUAR</t>
  </si>
  <si>
    <t>ERROR</t>
  </si>
  <si>
    <t>FUNDAMENTAL QUE INGRESE DATOS CATASTRALES PARA QUE NO DE ERROR</t>
  </si>
  <si>
    <t>30 % AL ENCARGAR EL TRABAJO</t>
  </si>
  <si>
    <t>COLOQUE EL PLAZO DE VIGENCIA DE CONTRATO Y FORMA DE PAGO</t>
  </si>
  <si>
    <t>POR DEFECTO EL TIPO DE CONTRATO ES ORIGINARIO</t>
  </si>
  <si>
    <t xml:space="preserve">FECHA del CONTRATO ORIGINAL (DD-MM-AA) </t>
  </si>
  <si>
    <t xml:space="preserve">FACTOR DE CORRECCION DEL CONTRATO ORIGINAL </t>
  </si>
  <si>
    <t xml:space="preserve">MONTO EN PESOS DEL CONTRATO ORIGINAL </t>
  </si>
  <si>
    <t>SI PONE AMPLIATORIO O REAJUSTE APARECERAN TRES CELDAS A LLENAR CON DATOS DEL ORIGINAL</t>
  </si>
  <si>
    <t>COLOQUE LA JURISDICCION DE LOS TRIBUNALES ACTUANTES</t>
  </si>
  <si>
    <t>ELEGIR EL COEFICIENTE DE ESTADO DEL EDIFICIO A DEMOLER</t>
  </si>
  <si>
    <t>0,3 - 0,45  -0,60</t>
  </si>
  <si>
    <t>POR DEFECTO ESTA 0,00%</t>
  </si>
  <si>
    <t>SI HAY FALTANTE DEBE  LLENAR ACTA DE ESTADO DE OBRA</t>
  </si>
  <si>
    <r>
      <t>AL LLENAR PLANILLA DE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ACTA DE ESTADO DE OBRA</t>
    </r>
    <r>
      <rPr>
        <b/>
        <sz val="11"/>
        <color indexed="10"/>
        <rFont val="Arial"/>
        <family val="2"/>
      </rPr>
      <t xml:space="preserve"> TRAE EL PORCENTAJE A LA CELDA QUE DICE 0,00%</t>
    </r>
  </si>
  <si>
    <t>TODA  MEDICION LLEVA ACTA DE ESTADO DE OBRA  -  AUNQUE NO FALTE NADA</t>
  </si>
  <si>
    <t>POR DEFECTO ESTA NO</t>
  </si>
  <si>
    <t>SI ES VIVIENDA UNIFAMILIAR HAY QUE CATEGORIZARLA</t>
  </si>
  <si>
    <t>1)</t>
  </si>
  <si>
    <t>Con dependencias de servicio</t>
  </si>
  <si>
    <t>cat</t>
  </si>
  <si>
    <t>2)</t>
  </si>
  <si>
    <t>Dos o mas cocheras cubiertas o semicubiertas</t>
  </si>
  <si>
    <t>3)</t>
  </si>
  <si>
    <t>Aire acundicionado central u otras instalaciones especiales</t>
  </si>
  <si>
    <t>4)</t>
  </si>
  <si>
    <t>Cuatro o mas baños o toilettes</t>
  </si>
  <si>
    <t>5)</t>
  </si>
  <si>
    <t>Sauna u/o piscinas con espejo de agua mayor a 30,00 m2</t>
  </si>
  <si>
    <t>6)</t>
  </si>
  <si>
    <t>Construccion de mas de 150 m2 totales de superficie (cubierta y semicubierta)</t>
  </si>
  <si>
    <t>7)</t>
  </si>
  <si>
    <t>Ubicad en country, barrio cerrado, club de campo y otras urbanizaciones privadas.</t>
  </si>
  <si>
    <t>8)</t>
  </si>
  <si>
    <t>Mas de tres niveles o plantas.</t>
  </si>
  <si>
    <t>Si la construccion cumple con el item de ubicación solamente (punto 7), en es caso el item se considera doble, encuadrando en categoria C</t>
  </si>
  <si>
    <t>ELIJA LA CATEGORIA DE OBRA COLOQUE SI SON M2 CUB U OTROS  PONGA LOS METROS CUADRADOS</t>
  </si>
  <si>
    <t>MEDICION E INFORME TECNICO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</si>
</sst>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.00;[Red]&quot;$&quot;\ \-#,##0.00"/>
    <numFmt numFmtId="165" formatCode="_ &quot;$&quot;\ * #,##0.00_ ;_ &quot;$&quot;\ * \-#,##0.00_ ;_ &quot;$&quot;\ * &quot;-&quot;??_ ;_ @_ "/>
    <numFmt numFmtId="166" formatCode="0.0"/>
    <numFmt numFmtId="167" formatCode="0.0%"/>
    <numFmt numFmtId="168" formatCode="_ &quot;$&quot;\ * #,##0.0_ ;_ &quot;$&quot;\ * \-#,##0.0_ ;_ &quot;$&quot;\ * &quot;-&quot;??_ ;_ @_ "/>
    <numFmt numFmtId="169" formatCode="_ &quot;$&quot;\ * #,##0_ ;_ &quot;$&quot;\ * \-#,##0_ ;_ &quot;$&quot;\ * &quot;-&quot;??_ ;_ @_ "/>
    <numFmt numFmtId="170" formatCode="d\-m\-yyyy"/>
    <numFmt numFmtId="171" formatCode="[$$-2C0A]\ #,##0"/>
    <numFmt numFmtId="172" formatCode="[$$-2C0A]\ #,##0.00"/>
    <numFmt numFmtId="173" formatCode="0.000"/>
    <numFmt numFmtId="174" formatCode="[$$-2C0A]#,##0;\-[$$-2C0A]#,##0"/>
    <numFmt numFmtId="175" formatCode="[$$-2C0A]#,##0"/>
    <numFmt numFmtId="176" formatCode="[$-F800]dddd\,\ mmmm\ dd\,\ yyyy"/>
    <numFmt numFmtId="177" formatCode="_-[$$-2C0A]\ * #,##0.00_-;\-[$$-2C0A]\ * #,##0.00_-;_-[$$-2C0A]\ * &quot;-&quot;??_-;_-@_-"/>
    <numFmt numFmtId="178" formatCode="[$$-2C0A]\ #,##0;[$$-2C0A]\ \-#,##0"/>
    <numFmt numFmtId="179" formatCode="[$$-2C0A]\ #,##0;\-[$$-2C0A]\ #,##0"/>
  </numFmts>
  <fonts count="1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45"/>
      <name val="Arial"/>
      <family val="2"/>
    </font>
    <font>
      <b/>
      <sz val="16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36"/>
      <name val="Arial Narrow"/>
      <family val="2"/>
    </font>
    <font>
      <b/>
      <sz val="16"/>
      <color indexed="8"/>
      <name val="Arial Black"/>
      <family val="2"/>
    </font>
    <font>
      <b/>
      <sz val="16"/>
      <color indexed="12"/>
      <name val="Arial Narrow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1"/>
      <color indexed="8"/>
      <name val="Arial Black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u val="single"/>
      <sz val="9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8"/>
      <color indexed="10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b/>
      <sz val="5"/>
      <name val="Garamond"/>
      <family val="1"/>
    </font>
    <font>
      <b/>
      <sz val="12"/>
      <name val="Garamond"/>
      <family val="1"/>
    </font>
    <font>
      <b/>
      <sz val="5"/>
      <name val="Arial"/>
      <family val="2"/>
    </font>
    <font>
      <sz val="5"/>
      <name val="Arial"/>
      <family val="2"/>
    </font>
    <font>
      <b/>
      <u val="single"/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1"/>
      <name val="Arial Black"/>
      <family val="2"/>
    </font>
    <font>
      <b/>
      <u val="single"/>
      <sz val="16"/>
      <name val="Verdana"/>
      <family val="2"/>
    </font>
    <font>
      <b/>
      <u val="single"/>
      <sz val="12"/>
      <name val="Verdana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b/>
      <sz val="26"/>
      <name val="Arial"/>
      <family val="2"/>
    </font>
    <font>
      <sz val="11"/>
      <color indexed="13"/>
      <name val="Arial"/>
      <family val="2"/>
    </font>
    <font>
      <b/>
      <sz val="16"/>
      <name val="Arial Narrow"/>
      <family val="2"/>
    </font>
    <font>
      <sz val="20"/>
      <name val="Arial"/>
      <family val="2"/>
    </font>
    <font>
      <i/>
      <sz val="16"/>
      <name val="Arial"/>
      <family val="2"/>
    </font>
    <font>
      <b/>
      <sz val="20"/>
      <color indexed="8"/>
      <name val="Goudy Old Style"/>
      <family val="1"/>
    </font>
    <font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 Narrow"/>
      <family val="2"/>
    </font>
    <font>
      <b/>
      <sz val="18"/>
      <color indexed="8"/>
      <name val="Arial"/>
      <family val="2"/>
    </font>
    <font>
      <sz val="26"/>
      <name val="Arial"/>
      <family val="2"/>
    </font>
    <font>
      <b/>
      <i/>
      <sz val="9"/>
      <name val="Times New Roman"/>
      <family val="1"/>
    </font>
    <font>
      <sz val="36"/>
      <name val="Baskerville Old Face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22"/>
      <color indexed="9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sz val="13"/>
      <color indexed="10"/>
      <name val="Arial"/>
      <family val="2"/>
    </font>
    <font>
      <sz val="8"/>
      <name val="Tahoma"/>
      <family val="2"/>
    </font>
    <font>
      <b/>
      <sz val="12"/>
      <name val="Aharoni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8"/>
      <color theme="1"/>
      <name val="Arial"/>
      <family val="2"/>
    </font>
    <font>
      <b/>
      <sz val="24"/>
      <color theme="0"/>
      <name val="Arial"/>
      <family val="2"/>
    </font>
    <font>
      <b/>
      <sz val="12"/>
      <color rgb="FFFF000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3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ck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ck"/>
      <bottom style="thin"/>
    </border>
    <border>
      <left style="thin"/>
      <right style="thin"/>
      <top style="thin"/>
      <bottom/>
    </border>
    <border>
      <left/>
      <right/>
      <top style="thick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/>
    </border>
    <border>
      <left style="thin"/>
      <right style="medium"/>
      <top style="thick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>
        <color indexed="47"/>
      </top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>
        <color indexed="47"/>
      </top>
      <bottom style="medium">
        <color indexed="47"/>
      </bottom>
    </border>
    <border>
      <left style="medium">
        <color indexed="47"/>
      </left>
      <right/>
      <top style="medium">
        <color indexed="47"/>
      </top>
      <bottom style="medium">
        <color indexed="47"/>
      </bottom>
    </border>
    <border>
      <left/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7"/>
      </left>
      <right/>
      <top style="medium">
        <color indexed="47"/>
      </top>
      <bottom/>
    </border>
    <border>
      <left/>
      <right style="medium">
        <color indexed="47"/>
      </right>
      <top style="medium">
        <color indexed="47"/>
      </top>
      <bottom/>
    </border>
    <border>
      <left/>
      <right/>
      <top/>
      <bottom style="medium">
        <color indexed="4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20" borderId="0" applyNumberFormat="0" applyBorder="0" applyAlignment="0" applyProtection="0"/>
    <xf numFmtId="0" fontId="113" fillId="21" borderId="1" applyNumberFormat="0" applyAlignment="0" applyProtection="0"/>
    <xf numFmtId="0" fontId="114" fillId="22" borderId="2" applyNumberFormat="0" applyAlignment="0" applyProtection="0"/>
    <xf numFmtId="0" fontId="115" fillId="0" borderId="3" applyNumberFormat="0" applyFill="0" applyAlignment="0" applyProtection="0"/>
    <xf numFmtId="0" fontId="116" fillId="0" borderId="0" applyNumberFormat="0" applyFill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7" fillId="29" borderId="1" applyNumberFormat="0" applyAlignment="0" applyProtection="0"/>
    <xf numFmtId="0" fontId="118" fillId="0" borderId="0" applyNumberFormat="0" applyFill="0" applyBorder="0" applyAlignment="0" applyProtection="0"/>
    <xf numFmtId="0" fontId="11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21" fillId="21" borderId="5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16" fillId="0" borderId="8" applyNumberFormat="0" applyFill="0" applyAlignment="0" applyProtection="0"/>
    <xf numFmtId="0" fontId="127" fillId="0" borderId="9" applyNumberFormat="0" applyFill="0" applyAlignment="0" applyProtection="0"/>
  </cellStyleXfs>
  <cellXfs count="179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7" fontId="2" fillId="0" borderId="0" xfId="54" applyNumberFormat="1" applyFont="1" applyFill="1" applyBorder="1" applyAlignment="1" applyProtection="1">
      <alignment horizontal="center"/>
      <protection/>
    </xf>
    <xf numFmtId="9" fontId="2" fillId="0" borderId="0" xfId="54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" fontId="7" fillId="0" borderId="0" xfId="0" applyNumberFormat="1" applyFont="1" applyBorder="1" applyAlignment="1" applyProtection="1">
      <alignment/>
      <protection/>
    </xf>
    <xf numFmtId="169" fontId="7" fillId="0" borderId="0" xfId="49" applyNumberFormat="1" applyFont="1" applyBorder="1" applyAlignment="1" applyProtection="1">
      <alignment/>
      <protection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1" fontId="9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left"/>
      <protection hidden="1"/>
    </xf>
    <xf numFmtId="2" fontId="19" fillId="0" borderId="0" xfId="0" applyNumberFormat="1" applyFont="1" applyBorder="1" applyAlignment="1" applyProtection="1">
      <alignment/>
      <protection hidden="1"/>
    </xf>
    <xf numFmtId="10" fontId="19" fillId="33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1" fontId="19" fillId="0" borderId="0" xfId="0" applyNumberFormat="1" applyFont="1" applyFill="1" applyBorder="1" applyAlignment="1" applyProtection="1">
      <alignment/>
      <protection hidden="1"/>
    </xf>
    <xf numFmtId="1" fontId="21" fillId="0" borderId="0" xfId="0" applyNumberFormat="1" applyFont="1" applyFill="1" applyAlignment="1" applyProtection="1">
      <alignment/>
      <protection hidden="1"/>
    </xf>
    <xf numFmtId="9" fontId="19" fillId="0" borderId="0" xfId="0" applyNumberFormat="1" applyFont="1" applyFill="1" applyBorder="1" applyAlignment="1" applyProtection="1">
      <alignment horizontal="center" vertical="center"/>
      <protection hidden="1"/>
    </xf>
    <xf numFmtId="166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167" fontId="19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>
      <alignment/>
    </xf>
    <xf numFmtId="10" fontId="9" fillId="0" borderId="0" xfId="0" applyNumberFormat="1" applyFont="1" applyBorder="1" applyAlignment="1" applyProtection="1">
      <alignment/>
      <protection hidden="1"/>
    </xf>
    <xf numFmtId="1" fontId="19" fillId="0" borderId="0" xfId="0" applyNumberFormat="1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166" fontId="9" fillId="0" borderId="0" xfId="0" applyNumberFormat="1" applyFont="1" applyBorder="1" applyAlignment="1" applyProtection="1">
      <alignment horizontal="right"/>
      <protection hidden="1"/>
    </xf>
    <xf numFmtId="0" fontId="19" fillId="0" borderId="10" xfId="0" applyFont="1" applyBorder="1" applyAlignment="1" applyProtection="1">
      <alignment/>
      <protection hidden="1"/>
    </xf>
    <xf numFmtId="0" fontId="0" fillId="0" borderId="19" xfId="0" applyFill="1" applyBorder="1" applyAlignment="1">
      <alignment/>
    </xf>
    <xf numFmtId="1" fontId="22" fillId="0" borderId="0" xfId="0" applyNumberFormat="1" applyFont="1" applyBorder="1" applyAlignment="1" applyProtection="1">
      <alignment horizontal="right"/>
      <protection hidden="1"/>
    </xf>
    <xf numFmtId="2" fontId="9" fillId="0" borderId="0" xfId="0" applyNumberFormat="1" applyFont="1" applyFill="1" applyBorder="1" applyAlignment="1" applyProtection="1">
      <alignment horizontal="right"/>
      <protection hidden="1"/>
    </xf>
    <xf numFmtId="169" fontId="13" fillId="0" borderId="0" xfId="49" applyNumberFormat="1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167" fontId="19" fillId="33" borderId="16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/>
      <protection hidden="1"/>
    </xf>
    <xf numFmtId="0" fontId="19" fillId="0" borderId="19" xfId="0" applyFont="1" applyBorder="1" applyAlignment="1" applyProtection="1">
      <alignment/>
      <protection hidden="1"/>
    </xf>
    <xf numFmtId="0" fontId="0" fillId="0" borderId="20" xfId="0" applyFill="1" applyBorder="1" applyAlignment="1">
      <alignment/>
    </xf>
    <xf numFmtId="0" fontId="19" fillId="34" borderId="14" xfId="0" applyFont="1" applyFill="1" applyBorder="1" applyAlignment="1" applyProtection="1">
      <alignment horizontal="right"/>
      <protection hidden="1"/>
    </xf>
    <xf numFmtId="0" fontId="19" fillId="34" borderId="14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3" fillId="35" borderId="22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 horizontal="center"/>
    </xf>
    <xf numFmtId="0" fontId="4" fillId="0" borderId="23" xfId="0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19" fillId="36" borderId="0" xfId="0" applyFont="1" applyFill="1" applyAlignment="1" applyProtection="1">
      <alignment horizontal="center"/>
      <protection hidden="1"/>
    </xf>
    <xf numFmtId="0" fontId="28" fillId="0" borderId="0" xfId="0" applyFont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3" fontId="29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34" fillId="0" borderId="24" xfId="0" applyFont="1" applyBorder="1" applyAlignment="1" applyProtection="1">
      <alignment vertical="center"/>
      <protection/>
    </xf>
    <xf numFmtId="49" fontId="33" fillId="0" borderId="0" xfId="0" applyNumberFormat="1" applyFont="1" applyBorder="1" applyAlignment="1" applyProtection="1">
      <alignment vertical="center"/>
      <protection locked="0"/>
    </xf>
    <xf numFmtId="0" fontId="26" fillId="0" borderId="25" xfId="0" applyFont="1" applyBorder="1" applyAlignment="1" applyProtection="1">
      <alignment/>
      <protection/>
    </xf>
    <xf numFmtId="0" fontId="26" fillId="0" borderId="23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35" fillId="0" borderId="11" xfId="0" applyFont="1" applyBorder="1" applyAlignment="1" applyProtection="1">
      <alignment/>
      <protection/>
    </xf>
    <xf numFmtId="0" fontId="34" fillId="0" borderId="23" xfId="0" applyFont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/>
      <protection/>
    </xf>
    <xf numFmtId="0" fontId="26" fillId="0" borderId="14" xfId="0" applyFont="1" applyBorder="1" applyAlignment="1" applyProtection="1">
      <alignment/>
      <protection/>
    </xf>
    <xf numFmtId="0" fontId="18" fillId="0" borderId="27" xfId="0" applyFont="1" applyBorder="1" applyAlignment="1" applyProtection="1">
      <alignment/>
      <protection/>
    </xf>
    <xf numFmtId="0" fontId="34" fillId="0" borderId="28" xfId="0" applyFont="1" applyBorder="1" applyAlignment="1" applyProtection="1">
      <alignment vertical="center"/>
      <protection/>
    </xf>
    <xf numFmtId="0" fontId="26" fillId="0" borderId="29" xfId="0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65" fontId="26" fillId="0" borderId="26" xfId="49" applyFont="1" applyBorder="1" applyAlignment="1" applyProtection="1">
      <alignment/>
      <protection/>
    </xf>
    <xf numFmtId="0" fontId="26" fillId="0" borderId="30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/>
      <protection/>
    </xf>
    <xf numFmtId="165" fontId="26" fillId="0" borderId="33" xfId="49" applyFont="1" applyBorder="1" applyAlignment="1" applyProtection="1">
      <alignment/>
      <protection/>
    </xf>
    <xf numFmtId="0" fontId="34" fillId="0" borderId="29" xfId="0" applyFont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/>
      <protection/>
    </xf>
    <xf numFmtId="0" fontId="26" fillId="0" borderId="35" xfId="0" applyFont="1" applyBorder="1" applyAlignment="1" applyProtection="1">
      <alignment/>
      <protection/>
    </xf>
    <xf numFmtId="0" fontId="26" fillId="0" borderId="26" xfId="0" applyFont="1" applyBorder="1" applyAlignment="1" applyProtection="1">
      <alignment horizontal="left"/>
      <protection/>
    </xf>
    <xf numFmtId="0" fontId="26" fillId="0" borderId="36" xfId="0" applyFont="1" applyBorder="1" applyAlignment="1" applyProtection="1">
      <alignment horizontal="left"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0" borderId="39" xfId="0" applyFont="1" applyBorder="1" applyAlignment="1" applyProtection="1">
      <alignment/>
      <protection/>
    </xf>
    <xf numFmtId="0" fontId="26" fillId="0" borderId="4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18" fillId="0" borderId="41" xfId="0" applyFont="1" applyBorder="1" applyAlignment="1" applyProtection="1">
      <alignment/>
      <protection/>
    </xf>
    <xf numFmtId="0" fontId="34" fillId="0" borderId="42" xfId="0" applyFont="1" applyBorder="1" applyAlignment="1" applyProtection="1">
      <alignment vertical="center"/>
      <protection/>
    </xf>
    <xf numFmtId="0" fontId="18" fillId="0" borderId="43" xfId="0" applyFont="1" applyBorder="1" applyAlignment="1" applyProtection="1">
      <alignment/>
      <protection/>
    </xf>
    <xf numFmtId="0" fontId="18" fillId="0" borderId="42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0" fontId="18" fillId="0" borderId="34" xfId="0" applyFont="1" applyBorder="1" applyAlignment="1" applyProtection="1">
      <alignment/>
      <protection/>
    </xf>
    <xf numFmtId="0" fontId="18" fillId="0" borderId="35" xfId="0" applyFont="1" applyBorder="1" applyAlignment="1" applyProtection="1">
      <alignment/>
      <protection/>
    </xf>
    <xf numFmtId="0" fontId="34" fillId="0" borderId="10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6" fillId="0" borderId="42" xfId="0" applyFont="1" applyBorder="1" applyAlignment="1" applyProtection="1">
      <alignment/>
      <protection/>
    </xf>
    <xf numFmtId="0" fontId="26" fillId="0" borderId="3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2" fillId="37" borderId="15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165" fontId="33" fillId="0" borderId="0" xfId="49" applyFont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36" fillId="0" borderId="19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center"/>
      <protection/>
    </xf>
    <xf numFmtId="165" fontId="33" fillId="0" borderId="13" xfId="49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0" fontId="25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3" xfId="0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center"/>
      <protection/>
    </xf>
    <xf numFmtId="0" fontId="26" fillId="0" borderId="14" xfId="0" applyFont="1" applyBorder="1" applyAlignment="1" applyProtection="1">
      <alignment horizontal="center"/>
      <protection/>
    </xf>
    <xf numFmtId="0" fontId="26" fillId="0" borderId="29" xfId="0" applyFont="1" applyBorder="1" applyAlignment="1" applyProtection="1">
      <alignment horizontal="center"/>
      <protection/>
    </xf>
    <xf numFmtId="0" fontId="26" fillId="0" borderId="13" xfId="0" applyFont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center"/>
      <protection/>
    </xf>
    <xf numFmtId="0" fontId="26" fillId="0" borderId="4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18" fillId="0" borderId="42" xfId="0" applyFont="1" applyBorder="1" applyAlignment="1" applyProtection="1">
      <alignment horizontal="center"/>
      <protection/>
    </xf>
    <xf numFmtId="0" fontId="18" fillId="0" borderId="34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6" fillId="0" borderId="42" xfId="0" applyFont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1" fontId="3" fillId="36" borderId="0" xfId="0" applyNumberFormat="1" applyFont="1" applyFill="1" applyBorder="1" applyAlignment="1" applyProtection="1">
      <alignment horizontal="center"/>
      <protection/>
    </xf>
    <xf numFmtId="166" fontId="9" fillId="0" borderId="0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10" xfId="0" applyBorder="1" applyAlignment="1">
      <alignment/>
    </xf>
    <xf numFmtId="3" fontId="38" fillId="0" borderId="45" xfId="0" applyNumberFormat="1" applyFont="1" applyBorder="1" applyAlignment="1" applyProtection="1">
      <alignment/>
      <protection/>
    </xf>
    <xf numFmtId="3" fontId="14" fillId="0" borderId="45" xfId="0" applyNumberFormat="1" applyFont="1" applyBorder="1" applyAlignment="1" applyProtection="1">
      <alignment/>
      <protection/>
    </xf>
    <xf numFmtId="3" fontId="38" fillId="0" borderId="46" xfId="0" applyNumberFormat="1" applyFont="1" applyBorder="1" applyAlignment="1" applyProtection="1">
      <alignment/>
      <protection/>
    </xf>
    <xf numFmtId="3" fontId="38" fillId="0" borderId="47" xfId="0" applyNumberFormat="1" applyFont="1" applyBorder="1" applyAlignment="1" applyProtection="1">
      <alignment/>
      <protection/>
    </xf>
    <xf numFmtId="3" fontId="38" fillId="0" borderId="48" xfId="0" applyNumberFormat="1" applyFont="1" applyBorder="1" applyAlignment="1" applyProtection="1">
      <alignment/>
      <protection/>
    </xf>
    <xf numFmtId="3" fontId="38" fillId="0" borderId="49" xfId="0" applyNumberFormat="1" applyFont="1" applyBorder="1" applyAlignment="1" applyProtection="1">
      <alignment/>
      <protection/>
    </xf>
    <xf numFmtId="3" fontId="38" fillId="0" borderId="50" xfId="0" applyNumberFormat="1" applyFont="1" applyBorder="1" applyAlignment="1" applyProtection="1">
      <alignment/>
      <protection/>
    </xf>
    <xf numFmtId="3" fontId="38" fillId="0" borderId="51" xfId="0" applyNumberFormat="1" applyFont="1" applyBorder="1" applyAlignment="1" applyProtection="1">
      <alignment/>
      <protection/>
    </xf>
    <xf numFmtId="3" fontId="38" fillId="0" borderId="52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/>
      <protection/>
    </xf>
    <xf numFmtId="171" fontId="0" fillId="0" borderId="0" xfId="0" applyNumberForma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5" fontId="0" fillId="0" borderId="36" xfId="49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" fontId="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9" fillId="38" borderId="10" xfId="0" applyFont="1" applyFill="1" applyBorder="1" applyAlignment="1" applyProtection="1">
      <alignment horizontal="center"/>
      <protection hidden="1"/>
    </xf>
    <xf numFmtId="0" fontId="19" fillId="38" borderId="19" xfId="0" applyFont="1" applyFill="1" applyBorder="1" applyAlignment="1" applyProtection="1">
      <alignment horizontal="center"/>
      <protection hidden="1"/>
    </xf>
    <xf numFmtId="0" fontId="19" fillId="38" borderId="0" xfId="0" applyFont="1" applyFill="1" applyBorder="1" applyAlignment="1" applyProtection="1">
      <alignment horizontal="center"/>
      <protection hidden="1"/>
    </xf>
    <xf numFmtId="0" fontId="19" fillId="38" borderId="13" xfId="0" applyFont="1" applyFill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/>
    </xf>
    <xf numFmtId="0" fontId="0" fillId="36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9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19" fillId="36" borderId="0" xfId="0" applyFont="1" applyFill="1" applyBorder="1" applyAlignment="1" applyProtection="1">
      <alignment horizontal="center"/>
      <protection hidden="1"/>
    </xf>
    <xf numFmtId="1" fontId="0" fillId="36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171" fontId="19" fillId="0" borderId="0" xfId="0" applyNumberFormat="1" applyFont="1" applyBorder="1" applyAlignment="1" applyProtection="1">
      <alignment horizontal="center"/>
      <protection hidden="1"/>
    </xf>
    <xf numFmtId="171" fontId="3" fillId="34" borderId="0" xfId="0" applyNumberFormat="1" applyFont="1" applyFill="1" applyBorder="1" applyAlignment="1" applyProtection="1">
      <alignment horizontal="center"/>
      <protection/>
    </xf>
    <xf numFmtId="0" fontId="21" fillId="0" borderId="54" xfId="0" applyFont="1" applyBorder="1" applyAlignment="1" applyProtection="1">
      <alignment/>
      <protection hidden="1"/>
    </xf>
    <xf numFmtId="0" fontId="19" fillId="0" borderId="53" xfId="0" applyFont="1" applyBorder="1" applyAlignment="1" applyProtection="1">
      <alignment/>
      <protection hidden="1"/>
    </xf>
    <xf numFmtId="0" fontId="19" fillId="0" borderId="53" xfId="0" applyFont="1" applyBorder="1" applyAlignment="1" applyProtection="1">
      <alignment horizontal="right"/>
      <protection hidden="1"/>
    </xf>
    <xf numFmtId="0" fontId="19" fillId="0" borderId="53" xfId="0" applyFont="1" applyBorder="1" applyAlignment="1" applyProtection="1">
      <alignment horizontal="left"/>
      <protection hidden="1"/>
    </xf>
    <xf numFmtId="0" fontId="9" fillId="0" borderId="53" xfId="0" applyFont="1" applyBorder="1" applyAlignment="1" applyProtection="1">
      <alignment horizontal="center"/>
      <protection hidden="1"/>
    </xf>
    <xf numFmtId="2" fontId="9" fillId="0" borderId="53" xfId="0" applyNumberFormat="1" applyFont="1" applyBorder="1" applyAlignment="1" applyProtection="1">
      <alignment/>
      <protection hidden="1"/>
    </xf>
    <xf numFmtId="0" fontId="2" fillId="0" borderId="53" xfId="0" applyFont="1" applyFill="1" applyBorder="1" applyAlignment="1" applyProtection="1">
      <alignment horizontal="right"/>
      <protection/>
    </xf>
    <xf numFmtId="0" fontId="0" fillId="0" borderId="53" xfId="0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36" borderId="53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9" fillId="0" borderId="56" xfId="0" applyFont="1" applyBorder="1" applyAlignment="1" applyProtection="1">
      <alignment/>
      <protection hidden="1"/>
    </xf>
    <xf numFmtId="0" fontId="0" fillId="0" borderId="57" xfId="0" applyFill="1" applyBorder="1" applyAlignment="1">
      <alignment horizontal="center"/>
    </xf>
    <xf numFmtId="0" fontId="0" fillId="0" borderId="56" xfId="0" applyFill="1" applyBorder="1" applyAlignment="1">
      <alignment/>
    </xf>
    <xf numFmtId="1" fontId="0" fillId="0" borderId="57" xfId="0" applyNumberFormat="1" applyFill="1" applyBorder="1" applyAlignment="1">
      <alignment horizontal="center"/>
    </xf>
    <xf numFmtId="0" fontId="2" fillId="0" borderId="56" xfId="0" applyFont="1" applyFill="1" applyBorder="1" applyAlignment="1" applyProtection="1">
      <alignment/>
      <protection/>
    </xf>
    <xf numFmtId="0" fontId="0" fillId="40" borderId="57" xfId="0" applyFill="1" applyBorder="1" applyAlignment="1">
      <alignment horizontal="center"/>
    </xf>
    <xf numFmtId="1" fontId="0" fillId="40" borderId="57" xfId="0" applyNumberFormat="1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44" xfId="0" applyFill="1" applyBorder="1" applyAlignment="1">
      <alignment/>
    </xf>
    <xf numFmtId="169" fontId="13" fillId="0" borderId="44" xfId="49" applyNumberFormat="1" applyFont="1" applyBorder="1" applyAlignment="1" applyProtection="1">
      <alignment horizontal="center"/>
      <protection/>
    </xf>
    <xf numFmtId="0" fontId="0" fillId="36" borderId="44" xfId="0" applyFill="1" applyBorder="1" applyAlignment="1">
      <alignment/>
    </xf>
    <xf numFmtId="0" fontId="0" fillId="0" borderId="58" xfId="0" applyFill="1" applyBorder="1" applyAlignment="1">
      <alignment/>
    </xf>
    <xf numFmtId="1" fontId="0" fillId="0" borderId="59" xfId="0" applyNumberFormat="1" applyFill="1" applyBorder="1" applyAlignment="1">
      <alignment horizontal="center"/>
    </xf>
    <xf numFmtId="0" fontId="19" fillId="0" borderId="56" xfId="0" applyFont="1" applyBorder="1" applyAlignment="1" applyProtection="1">
      <alignment/>
      <protection hidden="1"/>
    </xf>
    <xf numFmtId="1" fontId="0" fillId="41" borderId="57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0" fillId="0" borderId="54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/>
      <protection/>
    </xf>
    <xf numFmtId="0" fontId="2" fillId="0" borderId="53" xfId="0" applyFont="1" applyFill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center"/>
      <protection/>
    </xf>
    <xf numFmtId="1" fontId="2" fillId="0" borderId="53" xfId="0" applyNumberFormat="1" applyFont="1" applyFill="1" applyBorder="1" applyAlignment="1" applyProtection="1">
      <alignment horizontal="center"/>
      <protection/>
    </xf>
    <xf numFmtId="0" fontId="2" fillId="0" borderId="55" xfId="0" applyFont="1" applyFill="1" applyBorder="1" applyAlignment="1" applyProtection="1">
      <alignment/>
      <protection/>
    </xf>
    <xf numFmtId="0" fontId="2" fillId="0" borderId="44" xfId="0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right"/>
      <protection/>
    </xf>
    <xf numFmtId="1" fontId="0" fillId="39" borderId="44" xfId="0" applyNumberForma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2" fontId="3" fillId="0" borderId="53" xfId="0" applyNumberFormat="1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/>
      <protection/>
    </xf>
    <xf numFmtId="1" fontId="0" fillId="42" borderId="57" xfId="0" applyNumberFormat="1" applyFill="1" applyBorder="1" applyAlignment="1">
      <alignment horizontal="center"/>
    </xf>
    <xf numFmtId="0" fontId="0" fillId="42" borderId="57" xfId="0" applyFill="1" applyBorder="1" applyAlignment="1">
      <alignment horizontal="center"/>
    </xf>
    <xf numFmtId="1" fontId="0" fillId="35" borderId="57" xfId="0" applyNumberFormat="1" applyFill="1" applyBorder="1" applyAlignment="1">
      <alignment horizontal="center"/>
    </xf>
    <xf numFmtId="0" fontId="6" fillId="0" borderId="56" xfId="0" applyFont="1" applyBorder="1" applyAlignment="1" applyProtection="1">
      <alignment/>
      <protection/>
    </xf>
    <xf numFmtId="2" fontId="3" fillId="0" borderId="44" xfId="0" applyNumberFormat="1" applyFont="1" applyFill="1" applyBorder="1" applyAlignment="1" applyProtection="1">
      <alignment/>
      <protection/>
    </xf>
    <xf numFmtId="2" fontId="3" fillId="0" borderId="44" xfId="0" applyNumberFormat="1" applyFont="1" applyFill="1" applyBorder="1" applyAlignment="1" applyProtection="1">
      <alignment horizontal="center"/>
      <protection/>
    </xf>
    <xf numFmtId="1" fontId="0" fillId="35" borderId="58" xfId="0" applyNumberFormat="1" applyFill="1" applyBorder="1" applyAlignment="1">
      <alignment horizontal="center"/>
    </xf>
    <xf numFmtId="1" fontId="0" fillId="43" borderId="57" xfId="0" applyNumberFormat="1" applyFill="1" applyBorder="1" applyAlignment="1">
      <alignment horizontal="center"/>
    </xf>
    <xf numFmtId="0" fontId="9" fillId="0" borderId="55" xfId="0" applyFont="1" applyBorder="1" applyAlignment="1" applyProtection="1">
      <alignment/>
      <protection hidden="1"/>
    </xf>
    <xf numFmtId="0" fontId="19" fillId="0" borderId="44" xfId="0" applyFont="1" applyBorder="1" applyAlignment="1" applyProtection="1">
      <alignment/>
      <protection hidden="1"/>
    </xf>
    <xf numFmtId="0" fontId="19" fillId="0" borderId="44" xfId="0" applyFont="1" applyBorder="1" applyAlignment="1" applyProtection="1">
      <alignment horizontal="right"/>
      <protection hidden="1"/>
    </xf>
    <xf numFmtId="0" fontId="19" fillId="0" borderId="44" xfId="0" applyFont="1" applyBorder="1" applyAlignment="1" applyProtection="1">
      <alignment horizontal="left"/>
      <protection hidden="1"/>
    </xf>
    <xf numFmtId="0" fontId="9" fillId="0" borderId="44" xfId="0" applyFont="1" applyBorder="1" applyAlignment="1" applyProtection="1">
      <alignment horizontal="center"/>
      <protection hidden="1"/>
    </xf>
    <xf numFmtId="2" fontId="9" fillId="0" borderId="44" xfId="0" applyNumberFormat="1" applyFont="1" applyBorder="1" applyAlignment="1" applyProtection="1">
      <alignment/>
      <protection hidden="1"/>
    </xf>
    <xf numFmtId="1" fontId="0" fillId="0" borderId="58" xfId="0" applyNumberFormat="1" applyFill="1" applyBorder="1" applyAlignment="1">
      <alignment horizontal="center"/>
    </xf>
    <xf numFmtId="1" fontId="3" fillId="0" borderId="53" xfId="0" applyNumberFormat="1" applyFont="1" applyFill="1" applyBorder="1" applyAlignment="1" applyProtection="1">
      <alignment horizontal="center"/>
      <protection/>
    </xf>
    <xf numFmtId="1" fontId="0" fillId="34" borderId="57" xfId="0" applyNumberFormat="1" applyFill="1" applyBorder="1" applyAlignment="1">
      <alignment horizontal="center"/>
    </xf>
    <xf numFmtId="0" fontId="19" fillId="0" borderId="44" xfId="0" applyFont="1" applyFill="1" applyBorder="1" applyAlignment="1" applyProtection="1">
      <alignment/>
      <protection hidden="1"/>
    </xf>
    <xf numFmtId="1" fontId="3" fillId="0" borderId="44" xfId="0" applyNumberFormat="1" applyFont="1" applyFill="1" applyBorder="1" applyAlignment="1" applyProtection="1">
      <alignment horizontal="center"/>
      <protection/>
    </xf>
    <xf numFmtId="2" fontId="9" fillId="0" borderId="44" xfId="0" applyNumberFormat="1" applyFont="1" applyFill="1" applyBorder="1" applyAlignment="1" applyProtection="1">
      <alignment/>
      <protection hidden="1"/>
    </xf>
    <xf numFmtId="0" fontId="20" fillId="0" borderId="54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1" fontId="0" fillId="44" borderId="57" xfId="0" applyNumberFormat="1" applyFill="1" applyBorder="1" applyAlignment="1">
      <alignment horizontal="center"/>
    </xf>
    <xf numFmtId="0" fontId="21" fillId="0" borderId="54" xfId="0" applyFont="1" applyFill="1" applyBorder="1" applyAlignment="1" applyProtection="1">
      <alignment/>
      <protection hidden="1"/>
    </xf>
    <xf numFmtId="0" fontId="19" fillId="0" borderId="57" xfId="0" applyFont="1" applyBorder="1" applyAlignment="1" applyProtection="1">
      <alignment horizontal="center"/>
      <protection hidden="1"/>
    </xf>
    <xf numFmtId="0" fontId="3" fillId="0" borderId="55" xfId="0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/>
      <protection/>
    </xf>
    <xf numFmtId="1" fontId="2" fillId="0" borderId="44" xfId="0" applyNumberFormat="1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/>
      <protection/>
    </xf>
    <xf numFmtId="0" fontId="0" fillId="0" borderId="59" xfId="0" applyFill="1" applyBorder="1" applyAlignment="1">
      <alignment/>
    </xf>
    <xf numFmtId="0" fontId="3" fillId="0" borderId="56" xfId="0" applyFont="1" applyFill="1" applyBorder="1" applyAlignment="1" applyProtection="1">
      <alignment/>
      <protection/>
    </xf>
    <xf numFmtId="0" fontId="0" fillId="0" borderId="57" xfId="0" applyFill="1" applyBorder="1" applyAlignment="1">
      <alignment/>
    </xf>
    <xf numFmtId="0" fontId="2" fillId="0" borderId="54" xfId="0" applyFont="1" applyFill="1" applyBorder="1" applyAlignment="1" applyProtection="1">
      <alignment/>
      <protection/>
    </xf>
    <xf numFmtId="169" fontId="13" fillId="0" borderId="53" xfId="49" applyNumberFormat="1" applyFont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0" fillId="0" borderId="21" xfId="0" applyFill="1" applyBorder="1" applyAlignment="1">
      <alignment/>
    </xf>
    <xf numFmtId="169" fontId="13" fillId="0" borderId="12" xfId="49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7" fillId="0" borderId="16" xfId="49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2" fontId="9" fillId="0" borderId="0" xfId="0" applyNumberFormat="1" applyFont="1" applyAlignment="1" applyProtection="1">
      <alignment horizontal="right"/>
      <protection hidden="1"/>
    </xf>
    <xf numFmtId="166" fontId="9" fillId="0" borderId="0" xfId="0" applyNumberFormat="1" applyFont="1" applyAlignment="1" applyProtection="1">
      <alignment horizontal="right"/>
      <protection hidden="1"/>
    </xf>
    <xf numFmtId="0" fontId="2" fillId="0" borderId="5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9" fontId="20" fillId="0" borderId="0" xfId="49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36" borderId="0" xfId="0" applyFont="1" applyFill="1" applyBorder="1" applyAlignment="1" applyProtection="1">
      <alignment horizontal="center" vertical="center"/>
      <protection hidden="1"/>
    </xf>
    <xf numFmtId="0" fontId="19" fillId="0" borderId="57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1" fontId="7" fillId="0" borderId="0" xfId="0" applyNumberFormat="1" applyFont="1" applyBorder="1" applyAlignment="1" applyProtection="1">
      <alignment/>
      <protection hidden="1"/>
    </xf>
    <xf numFmtId="1" fontId="6" fillId="39" borderId="0" xfId="0" applyNumberFormat="1" applyFont="1" applyFill="1" applyBorder="1" applyAlignment="1" applyProtection="1">
      <alignment horizontal="center"/>
      <protection hidden="1"/>
    </xf>
    <xf numFmtId="0" fontId="0" fillId="45" borderId="0" xfId="0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19" fillId="0" borderId="0" xfId="0" applyFont="1" applyFill="1" applyAlignment="1" applyProtection="1">
      <alignment/>
      <protection hidden="1"/>
    </xf>
    <xf numFmtId="0" fontId="0" fillId="0" borderId="0" xfId="0" applyFill="1" applyBorder="1" applyAlignment="1" quotePrefix="1">
      <alignment horizontal="center"/>
    </xf>
    <xf numFmtId="171" fontId="7" fillId="33" borderId="0" xfId="0" applyNumberFormat="1" applyFont="1" applyFill="1" applyBorder="1" applyAlignment="1" applyProtection="1">
      <alignment horizontal="center"/>
      <protection hidden="1"/>
    </xf>
    <xf numFmtId="1" fontId="0" fillId="46" borderId="0" xfId="0" applyNumberFormat="1" applyFill="1" applyBorder="1" applyAlignment="1">
      <alignment horizontal="center"/>
    </xf>
    <xf numFmtId="0" fontId="6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left"/>
      <protection hidden="1"/>
    </xf>
    <xf numFmtId="1" fontId="9" fillId="0" borderId="0" xfId="0" applyNumberFormat="1" applyFont="1" applyFill="1" applyBorder="1" applyAlignment="1" applyProtection="1">
      <alignment/>
      <protection hidden="1"/>
    </xf>
    <xf numFmtId="2" fontId="9" fillId="0" borderId="44" xfId="0" applyNumberFormat="1" applyFont="1" applyFill="1" applyBorder="1" applyAlignment="1" applyProtection="1">
      <alignment horizontal="left"/>
      <protection hidden="1"/>
    </xf>
    <xf numFmtId="0" fontId="9" fillId="0" borderId="44" xfId="0" applyFont="1" applyFill="1" applyBorder="1" applyAlignment="1" applyProtection="1">
      <alignment horizontal="center"/>
      <protection hidden="1"/>
    </xf>
    <xf numFmtId="0" fontId="19" fillId="0" borderId="44" xfId="0" applyFont="1" applyFill="1" applyBorder="1" applyAlignment="1" applyProtection="1">
      <alignment horizontal="center"/>
      <protection hidden="1"/>
    </xf>
    <xf numFmtId="1" fontId="21" fillId="0" borderId="44" xfId="0" applyNumberFormat="1" applyFont="1" applyFill="1" applyBorder="1" applyAlignment="1" applyProtection="1">
      <alignment horizontal="center"/>
      <protection hidden="1"/>
    </xf>
    <xf numFmtId="1" fontId="21" fillId="0" borderId="44" xfId="0" applyNumberFormat="1" applyFont="1" applyFill="1" applyBorder="1" applyAlignment="1" applyProtection="1">
      <alignment/>
      <protection hidden="1"/>
    </xf>
    <xf numFmtId="1" fontId="0" fillId="0" borderId="44" xfId="0" applyNumberFormat="1" applyFill="1" applyBorder="1" applyAlignment="1">
      <alignment horizontal="center"/>
    </xf>
    <xf numFmtId="0" fontId="0" fillId="47" borderId="0" xfId="0" applyFill="1" applyAlignment="1">
      <alignment/>
    </xf>
    <xf numFmtId="0" fontId="0" fillId="47" borderId="0" xfId="0" applyFill="1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23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52" fillId="0" borderId="20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0" fontId="0" fillId="0" borderId="44" xfId="0" applyBorder="1" applyAlignment="1">
      <alignment/>
    </xf>
    <xf numFmtId="0" fontId="0" fillId="0" borderId="58" xfId="0" applyBorder="1" applyAlignment="1">
      <alignment/>
    </xf>
    <xf numFmtId="0" fontId="38" fillId="0" borderId="54" xfId="0" applyFont="1" applyBorder="1" applyAlignment="1">
      <alignment vertical="center"/>
    </xf>
    <xf numFmtId="0" fontId="38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0" borderId="11" xfId="0" applyFont="1" applyBorder="1" applyAlignment="1">
      <alignment vertical="center"/>
    </xf>
    <xf numFmtId="0" fontId="0" fillId="0" borderId="14" xfId="0" applyFont="1" applyBorder="1" applyAlignment="1">
      <alignment/>
    </xf>
    <xf numFmtId="174" fontId="13" fillId="0" borderId="11" xfId="49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2" fillId="0" borderId="14" xfId="0" applyFont="1" applyBorder="1" applyAlignment="1">
      <alignment/>
    </xf>
    <xf numFmtId="174" fontId="13" fillId="0" borderId="14" xfId="49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14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22" fillId="0" borderId="12" xfId="0" applyFont="1" applyBorder="1" applyAlignment="1" applyProtection="1">
      <alignment/>
      <protection/>
    </xf>
    <xf numFmtId="0" fontId="0" fillId="0" borderId="0" xfId="0" applyFont="1" applyBorder="1" applyAlignment="1">
      <alignment horizontal="justify" vertical="top"/>
    </xf>
    <xf numFmtId="0" fontId="26" fillId="0" borderId="0" xfId="0" applyFont="1" applyAlignment="1">
      <alignment/>
    </xf>
    <xf numFmtId="169" fontId="7" fillId="0" borderId="0" xfId="49" applyNumberFormat="1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6" fillId="0" borderId="10" xfId="0" applyFont="1" applyBorder="1" applyAlignment="1" applyProtection="1">
      <alignment/>
      <protection/>
    </xf>
    <xf numFmtId="0" fontId="0" fillId="0" borderId="59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0" fontId="1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0" fontId="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33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10" fontId="0" fillId="0" borderId="36" xfId="0" applyNumberForma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10" fontId="0" fillId="0" borderId="33" xfId="0" applyNumberFormat="1" applyBorder="1" applyAlignment="1">
      <alignment horizontal="center"/>
    </xf>
    <xf numFmtId="10" fontId="17" fillId="0" borderId="62" xfId="0" applyNumberFormat="1" applyFont="1" applyBorder="1" applyAlignment="1">
      <alignment horizontal="center" vertical="center"/>
    </xf>
    <xf numFmtId="10" fontId="17" fillId="0" borderId="6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10" fontId="0" fillId="45" borderId="26" xfId="0" applyNumberForma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/>
    </xf>
    <xf numFmtId="0" fontId="0" fillId="36" borderId="53" xfId="0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61" xfId="0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/>
    </xf>
    <xf numFmtId="0" fontId="18" fillId="0" borderId="0" xfId="0" applyFont="1" applyFill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/>
    </xf>
    <xf numFmtId="1" fontId="0" fillId="39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53" xfId="0" applyBorder="1" applyAlignment="1">
      <alignment horizontal="center"/>
    </xf>
    <xf numFmtId="0" fontId="63" fillId="0" borderId="0" xfId="0" applyFont="1" applyFill="1" applyBorder="1" applyAlignment="1" applyProtection="1">
      <alignment horizontal="right"/>
      <protection hidden="1"/>
    </xf>
    <xf numFmtId="0" fontId="6" fillId="0" borderId="59" xfId="0" applyFont="1" applyBorder="1" applyAlignment="1" applyProtection="1">
      <alignment/>
      <protection hidden="1"/>
    </xf>
    <xf numFmtId="0" fontId="6" fillId="0" borderId="57" xfId="0" applyFont="1" applyBorder="1" applyAlignment="1" applyProtection="1">
      <alignment/>
      <protection hidden="1"/>
    </xf>
    <xf numFmtId="0" fontId="6" fillId="0" borderId="58" xfId="0" applyFont="1" applyBorder="1" applyAlignment="1" applyProtection="1">
      <alignment/>
      <protection hidden="1"/>
    </xf>
    <xf numFmtId="0" fontId="64" fillId="47" borderId="0" xfId="0" applyFont="1" applyFill="1" applyAlignment="1">
      <alignment/>
    </xf>
    <xf numFmtId="0" fontId="63" fillId="47" borderId="0" xfId="0" applyFont="1" applyFill="1" applyBorder="1" applyAlignment="1" applyProtection="1">
      <alignment/>
      <protection locked="0"/>
    </xf>
    <xf numFmtId="0" fontId="64" fillId="47" borderId="0" xfId="0" applyFont="1" applyFill="1" applyBorder="1" applyAlignment="1">
      <alignment/>
    </xf>
    <xf numFmtId="0" fontId="65" fillId="47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0" fontId="31" fillId="0" borderId="44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0" fillId="48" borderId="5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49" borderId="63" xfId="0" applyFill="1" applyBorder="1" applyAlignment="1">
      <alignment/>
    </xf>
    <xf numFmtId="0" fontId="0" fillId="49" borderId="34" xfId="0" applyFill="1" applyBorder="1" applyAlignment="1">
      <alignment/>
    </xf>
    <xf numFmtId="0" fontId="0" fillId="49" borderId="64" xfId="0" applyFill="1" applyBorder="1" applyAlignment="1">
      <alignment/>
    </xf>
    <xf numFmtId="0" fontId="0" fillId="49" borderId="65" xfId="0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66" xfId="0" applyFill="1" applyBorder="1" applyAlignment="1">
      <alignment/>
    </xf>
    <xf numFmtId="0" fontId="0" fillId="49" borderId="67" xfId="0" applyFill="1" applyBorder="1" applyAlignment="1">
      <alignment/>
    </xf>
    <xf numFmtId="0" fontId="0" fillId="49" borderId="68" xfId="0" applyFill="1" applyBorder="1" applyAlignment="1">
      <alignment/>
    </xf>
    <xf numFmtId="0" fontId="0" fillId="49" borderId="69" xfId="0" applyFill="1" applyBorder="1" applyAlignment="1">
      <alignment/>
    </xf>
    <xf numFmtId="0" fontId="18" fillId="49" borderId="0" xfId="0" applyFont="1" applyFill="1" applyBorder="1" applyAlignment="1">
      <alignment horizontal="left"/>
    </xf>
    <xf numFmtId="0" fontId="0" fillId="49" borderId="0" xfId="0" applyFont="1" applyFill="1" applyBorder="1" applyAlignment="1">
      <alignment horizontal="left"/>
    </xf>
    <xf numFmtId="0" fontId="0" fillId="49" borderId="0" xfId="0" applyFont="1" applyFill="1" applyBorder="1" applyAlignment="1">
      <alignment/>
    </xf>
    <xf numFmtId="0" fontId="13" fillId="49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right"/>
    </xf>
    <xf numFmtId="0" fontId="0" fillId="49" borderId="0" xfId="0" applyFill="1" applyBorder="1" applyAlignment="1" applyProtection="1">
      <alignment/>
      <protection locked="0"/>
    </xf>
    <xf numFmtId="0" fontId="0" fillId="49" borderId="70" xfId="0" applyFill="1" applyBorder="1" applyAlignment="1" applyProtection="1">
      <alignment/>
      <protection locked="0"/>
    </xf>
    <xf numFmtId="0" fontId="0" fillId="38" borderId="0" xfId="0" applyFill="1" applyBorder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49" borderId="0" xfId="0" applyFill="1" applyAlignment="1">
      <alignment/>
    </xf>
    <xf numFmtId="0" fontId="0" fillId="49" borderId="20" xfId="0" applyFill="1" applyBorder="1" applyAlignment="1">
      <alignment/>
    </xf>
    <xf numFmtId="0" fontId="0" fillId="49" borderId="14" xfId="0" applyFill="1" applyBorder="1" applyAlignment="1">
      <alignment/>
    </xf>
    <xf numFmtId="0" fontId="0" fillId="49" borderId="17" xfId="0" applyFill="1" applyBorder="1" applyAlignment="1">
      <alignment/>
    </xf>
    <xf numFmtId="0" fontId="0" fillId="49" borderId="10" xfId="0" applyFill="1" applyBorder="1" applyAlignment="1">
      <alignment/>
    </xf>
    <xf numFmtId="0" fontId="0" fillId="49" borderId="16" xfId="0" applyFill="1" applyBorder="1" applyAlignment="1">
      <alignment/>
    </xf>
    <xf numFmtId="0" fontId="0" fillId="49" borderId="19" xfId="0" applyFill="1" applyBorder="1" applyAlignment="1">
      <alignment/>
    </xf>
    <xf numFmtId="0" fontId="0" fillId="49" borderId="13" xfId="0" applyFill="1" applyBorder="1" applyAlignment="1">
      <alignment/>
    </xf>
    <xf numFmtId="0" fontId="17" fillId="49" borderId="20" xfId="0" applyFont="1" applyFill="1" applyBorder="1" applyAlignment="1">
      <alignment/>
    </xf>
    <xf numFmtId="0" fontId="17" fillId="49" borderId="19" xfId="0" applyFont="1" applyFill="1" applyBorder="1" applyAlignment="1">
      <alignment/>
    </xf>
    <xf numFmtId="0" fontId="0" fillId="49" borderId="18" xfId="0" applyFont="1" applyFill="1" applyBorder="1" applyAlignment="1">
      <alignment/>
    </xf>
    <xf numFmtId="171" fontId="34" fillId="0" borderId="0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8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>
      <alignment horizontal="center" vertical="center"/>
    </xf>
    <xf numFmtId="171" fontId="34" fillId="0" borderId="0" xfId="0" applyNumberFormat="1" applyFont="1" applyFill="1" applyBorder="1" applyAlignment="1">
      <alignment vertical="center"/>
    </xf>
    <xf numFmtId="0" fontId="0" fillId="0" borderId="59" xfId="0" applyBorder="1" applyAlignment="1">
      <alignment/>
    </xf>
    <xf numFmtId="0" fontId="0" fillId="0" borderId="11" xfId="0" applyBorder="1" applyAlignment="1">
      <alignment horizontal="center"/>
    </xf>
    <xf numFmtId="0" fontId="55" fillId="0" borderId="61" xfId="0" applyFont="1" applyBorder="1" applyAlignment="1">
      <alignment horizontal="center" vertical="center"/>
    </xf>
    <xf numFmtId="0" fontId="34" fillId="0" borderId="71" xfId="0" applyFont="1" applyBorder="1" applyAlignment="1" applyProtection="1">
      <alignment vertical="center"/>
      <protection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26" fillId="0" borderId="72" xfId="0" applyFont="1" applyBorder="1" applyAlignment="1" applyProtection="1">
      <alignment horizontal="left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72" xfId="0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71" fontId="0" fillId="0" borderId="0" xfId="0" applyNumberFormat="1" applyFill="1" applyBorder="1" applyAlignment="1">
      <alignment vertical="center"/>
    </xf>
    <xf numFmtId="3" fontId="38" fillId="0" borderId="46" xfId="0" applyNumberFormat="1" applyFont="1" applyFill="1" applyBorder="1" applyAlignment="1" applyProtection="1">
      <alignment/>
      <protection/>
    </xf>
    <xf numFmtId="0" fontId="67" fillId="47" borderId="0" xfId="0" applyFont="1" applyFill="1" applyAlignment="1">
      <alignment vertical="center"/>
    </xf>
    <xf numFmtId="169" fontId="13" fillId="0" borderId="0" xfId="49" applyNumberFormat="1" applyFont="1" applyBorder="1" applyAlignment="1" applyProtection="1">
      <alignment/>
      <protection/>
    </xf>
    <xf numFmtId="0" fontId="26" fillId="0" borderId="0" xfId="0" applyFont="1" applyAlignment="1">
      <alignment vertical="center"/>
    </xf>
    <xf numFmtId="1" fontId="3" fillId="0" borderId="16" xfId="0" applyNumberFormat="1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>
      <alignment horizontal="center"/>
    </xf>
    <xf numFmtId="1" fontId="0" fillId="0" borderId="26" xfId="0" applyNumberFormat="1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2" fontId="3" fillId="0" borderId="26" xfId="0" applyNumberFormat="1" applyFont="1" applyFill="1" applyBorder="1" applyAlignment="1" applyProtection="1">
      <alignment horizontal="right"/>
      <protection/>
    </xf>
    <xf numFmtId="0" fontId="2" fillId="0" borderId="23" xfId="0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37" fillId="0" borderId="11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/>
      <protection/>
    </xf>
    <xf numFmtId="166" fontId="0" fillId="0" borderId="11" xfId="0" applyNumberForma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 horizontal="center"/>
      <protection/>
    </xf>
    <xf numFmtId="2" fontId="3" fillId="0" borderId="33" xfId="0" applyNumberFormat="1" applyFont="1" applyFill="1" applyBorder="1" applyAlignment="1" applyProtection="1">
      <alignment horizontal="right"/>
      <protection/>
    </xf>
    <xf numFmtId="2" fontId="0" fillId="0" borderId="33" xfId="0" applyNumberFormat="1" applyFill="1" applyBorder="1" applyAlignment="1">
      <alignment horizontal="center"/>
    </xf>
    <xf numFmtId="1" fontId="0" fillId="0" borderId="33" xfId="0" applyNumberFormat="1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/>
      <protection/>
    </xf>
    <xf numFmtId="1" fontId="3" fillId="0" borderId="33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0" fontId="0" fillId="0" borderId="26" xfId="0" applyFill="1" applyBorder="1" applyAlignment="1">
      <alignment/>
    </xf>
    <xf numFmtId="2" fontId="0" fillId="0" borderId="11" xfId="0" applyNumberFormat="1" applyFont="1" applyFill="1" applyBorder="1" applyAlignment="1" applyProtection="1">
      <alignment horizontal="center"/>
      <protection/>
    </xf>
    <xf numFmtId="166" fontId="0" fillId="0" borderId="11" xfId="0" applyNumberFormat="1" applyFont="1" applyFill="1" applyBorder="1" applyAlignment="1" applyProtection="1">
      <alignment horizontal="center"/>
      <protection/>
    </xf>
    <xf numFmtId="2" fontId="0" fillId="0" borderId="33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vertical="center"/>
    </xf>
    <xf numFmtId="172" fontId="10" fillId="0" borderId="26" xfId="0" applyNumberFormat="1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 locked="0"/>
    </xf>
    <xf numFmtId="0" fontId="26" fillId="0" borderId="0" xfId="0" applyFont="1" applyAlignment="1">
      <alignment horizontal="left"/>
    </xf>
    <xf numFmtId="177" fontId="59" fillId="0" borderId="0" xfId="0" applyNumberFormat="1" applyFont="1" applyAlignment="1">
      <alignment horizontal="center"/>
    </xf>
    <xf numFmtId="0" fontId="0" fillId="45" borderId="26" xfId="0" applyFill="1" applyBorder="1" applyAlignment="1" applyProtection="1">
      <alignment/>
      <protection locked="0"/>
    </xf>
    <xf numFmtId="0" fontId="64" fillId="0" borderId="0" xfId="0" applyFont="1" applyFill="1" applyAlignment="1">
      <alignment/>
    </xf>
    <xf numFmtId="0" fontId="0" fillId="45" borderId="26" xfId="0" applyFont="1" applyFill="1" applyBorder="1" applyAlignment="1" applyProtection="1">
      <alignment/>
      <protection locked="0"/>
    </xf>
    <xf numFmtId="0" fontId="10" fillId="0" borderId="51" xfId="0" applyFont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26" xfId="0" applyFont="1" applyFill="1" applyBorder="1" applyAlignment="1" applyProtection="1">
      <alignment horizontal="center" vertical="center"/>
      <protection/>
    </xf>
    <xf numFmtId="0" fontId="0" fillId="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 applyProtection="1">
      <alignment vertical="center"/>
      <protection/>
    </xf>
    <xf numFmtId="0" fontId="6" fillId="2" borderId="71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>
      <alignment horizontal="center" vertical="center"/>
    </xf>
    <xf numFmtId="0" fontId="59" fillId="50" borderId="61" xfId="0" applyFont="1" applyFill="1" applyBorder="1" applyAlignment="1">
      <alignment horizontal="center" vertical="center"/>
    </xf>
    <xf numFmtId="0" fontId="0" fillId="50" borderId="36" xfId="0" applyFont="1" applyFill="1" applyBorder="1" applyAlignment="1">
      <alignment horizontal="center"/>
    </xf>
    <xf numFmtId="0" fontId="0" fillId="50" borderId="26" xfId="0" applyFont="1" applyFill="1" applyBorder="1" applyAlignment="1">
      <alignment horizontal="center"/>
    </xf>
    <xf numFmtId="0" fontId="0" fillId="51" borderId="26" xfId="0" applyFont="1" applyFill="1" applyBorder="1" applyAlignment="1" applyProtection="1">
      <alignment horizontal="center" vertical="center"/>
      <protection locked="0"/>
    </xf>
    <xf numFmtId="177" fontId="0" fillId="51" borderId="26" xfId="0" applyNumberFormat="1" applyFont="1" applyFill="1" applyBorder="1" applyAlignment="1" applyProtection="1">
      <alignment horizontal="center" vertical="center"/>
      <protection hidden="1" locked="0"/>
    </xf>
    <xf numFmtId="177" fontId="13" fillId="50" borderId="23" xfId="0" applyNumberFormat="1" applyFont="1" applyFill="1" applyBorder="1" applyAlignment="1" applyProtection="1">
      <alignment horizontal="center"/>
      <protection/>
    </xf>
    <xf numFmtId="0" fontId="0" fillId="50" borderId="46" xfId="0" applyFill="1" applyBorder="1" applyAlignment="1" applyProtection="1">
      <alignment horizontal="center"/>
      <protection/>
    </xf>
    <xf numFmtId="0" fontId="13" fillId="50" borderId="23" xfId="0" applyFont="1" applyFill="1" applyBorder="1" applyAlignment="1" applyProtection="1">
      <alignment horizontal="center"/>
      <protection/>
    </xf>
    <xf numFmtId="0" fontId="0" fillId="50" borderId="50" xfId="0" applyFill="1" applyBorder="1" applyAlignment="1" applyProtection="1">
      <alignment horizontal="center"/>
      <protection/>
    </xf>
    <xf numFmtId="177" fontId="20" fillId="50" borderId="26" xfId="0" applyNumberFormat="1" applyFont="1" applyFill="1" applyBorder="1" applyAlignment="1" applyProtection="1">
      <alignment horizontal="center" vertical="center"/>
      <protection/>
    </xf>
    <xf numFmtId="0" fontId="17" fillId="50" borderId="46" xfId="0" applyFont="1" applyFill="1" applyBorder="1" applyAlignment="1" applyProtection="1">
      <alignment horizontal="center" vertical="center"/>
      <protection/>
    </xf>
    <xf numFmtId="177" fontId="13" fillId="50" borderId="26" xfId="0" applyNumberFormat="1" applyFont="1" applyFill="1" applyBorder="1" applyAlignment="1" applyProtection="1">
      <alignment horizontal="center"/>
      <protection/>
    </xf>
    <xf numFmtId="0" fontId="13" fillId="50" borderId="26" xfId="0" applyFont="1" applyFill="1" applyBorder="1" applyAlignment="1" applyProtection="1">
      <alignment horizontal="center"/>
      <protection/>
    </xf>
    <xf numFmtId="0" fontId="0" fillId="50" borderId="38" xfId="0" applyFill="1" applyBorder="1" applyAlignment="1">
      <alignment horizontal="center"/>
    </xf>
    <xf numFmtId="177" fontId="0" fillId="51" borderId="26" xfId="0" applyNumberFormat="1" applyFont="1" applyFill="1" applyBorder="1" applyAlignment="1" applyProtection="1">
      <alignment horizontal="center" vertical="center"/>
      <protection locked="0"/>
    </xf>
    <xf numFmtId="177" fontId="0" fillId="51" borderId="38" xfId="0" applyNumberFormat="1" applyFont="1" applyFill="1" applyBorder="1" applyAlignment="1" applyProtection="1">
      <alignment horizontal="center" vertical="center"/>
      <protection locked="0"/>
    </xf>
    <xf numFmtId="178" fontId="34" fillId="51" borderId="61" xfId="0" applyNumberFormat="1" applyFont="1" applyFill="1" applyBorder="1" applyAlignment="1" applyProtection="1">
      <alignment horizontal="center" vertical="center"/>
      <protection locked="0"/>
    </xf>
    <xf numFmtId="0" fontId="0" fillId="51" borderId="73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50" borderId="61" xfId="0" applyFill="1" applyBorder="1" applyAlignment="1" applyProtection="1">
      <alignment horizontal="center" vertical="center"/>
      <protection/>
    </xf>
    <xf numFmtId="0" fontId="13" fillId="50" borderId="26" xfId="0" applyFont="1" applyFill="1" applyBorder="1" applyAlignment="1" applyProtection="1">
      <alignment horizontal="center"/>
      <protection hidden="1"/>
    </xf>
    <xf numFmtId="177" fontId="13" fillId="50" borderId="43" xfId="0" applyNumberFormat="1" applyFont="1" applyFill="1" applyBorder="1" applyAlignment="1" applyProtection="1">
      <alignment horizontal="center"/>
      <protection/>
    </xf>
    <xf numFmtId="0" fontId="0" fillId="50" borderId="51" xfId="0" applyFill="1" applyBorder="1" applyAlignment="1" applyProtection="1">
      <alignment horizontal="center"/>
      <protection/>
    </xf>
    <xf numFmtId="0" fontId="0" fillId="51" borderId="71" xfId="0" applyFont="1" applyFill="1" applyBorder="1" applyAlignment="1" applyProtection="1">
      <alignment horizontal="center" vertical="center"/>
      <protection locked="0"/>
    </xf>
    <xf numFmtId="177" fontId="20" fillId="50" borderId="71" xfId="0" applyNumberFormat="1" applyFont="1" applyFill="1" applyBorder="1" applyAlignment="1" applyProtection="1">
      <alignment horizontal="center" vertical="center"/>
      <protection/>
    </xf>
    <xf numFmtId="0" fontId="17" fillId="50" borderId="51" xfId="0" applyFont="1" applyFill="1" applyBorder="1" applyAlignment="1" applyProtection="1">
      <alignment horizontal="center" vertical="center"/>
      <protection/>
    </xf>
    <xf numFmtId="1" fontId="0" fillId="50" borderId="0" xfId="0" applyNumberFormat="1" applyFill="1" applyBorder="1" applyAlignment="1">
      <alignment horizontal="center"/>
    </xf>
    <xf numFmtId="0" fontId="0" fillId="50" borderId="0" xfId="0" applyFill="1" applyBorder="1" applyAlignment="1">
      <alignment/>
    </xf>
    <xf numFmtId="0" fontId="0" fillId="50" borderId="0" xfId="0" applyFill="1" applyBorder="1" applyAlignment="1">
      <alignment horizontal="center"/>
    </xf>
    <xf numFmtId="0" fontId="0" fillId="50" borderId="0" xfId="0" applyFill="1" applyBorder="1" applyAlignment="1">
      <alignment/>
    </xf>
    <xf numFmtId="0" fontId="21" fillId="0" borderId="56" xfId="0" applyFont="1" applyBorder="1" applyAlignment="1" applyProtection="1">
      <alignment/>
      <protection hidden="1"/>
    </xf>
    <xf numFmtId="0" fontId="0" fillId="11" borderId="23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128" fillId="52" borderId="23" xfId="0" applyFont="1" applyFill="1" applyBorder="1" applyAlignment="1" applyProtection="1">
      <alignment horizontal="left"/>
      <protection hidden="1"/>
    </xf>
    <xf numFmtId="0" fontId="128" fillId="52" borderId="22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76" fontId="40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7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169" fontId="24" fillId="0" borderId="0" xfId="49" applyNumberFormat="1" applyFont="1" applyFill="1" applyAlignment="1" applyProtection="1">
      <alignment/>
      <protection/>
    </xf>
    <xf numFmtId="169" fontId="7" fillId="0" borderId="0" xfId="49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4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justify"/>
      <protection locked="0"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justify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justify"/>
      <protection/>
    </xf>
    <xf numFmtId="168" fontId="7" fillId="0" borderId="0" xfId="49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5" fontId="7" fillId="0" borderId="0" xfId="49" applyFont="1" applyFill="1" applyBorder="1" applyAlignment="1" applyProtection="1">
      <alignment horizontal="center" vertical="justify"/>
      <protection/>
    </xf>
    <xf numFmtId="9" fontId="6" fillId="0" borderId="0" xfId="0" applyNumberFormat="1" applyFont="1" applyFill="1" applyBorder="1" applyAlignment="1" applyProtection="1">
      <alignment horizontal="center"/>
      <protection/>
    </xf>
    <xf numFmtId="165" fontId="7" fillId="0" borderId="0" xfId="49" applyFont="1" applyFill="1" applyBorder="1" applyAlignment="1" applyProtection="1">
      <alignment/>
      <protection/>
    </xf>
    <xf numFmtId="165" fontId="6" fillId="0" borderId="0" xfId="4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 vertical="justify"/>
      <protection/>
    </xf>
    <xf numFmtId="0" fontId="6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0" fillId="51" borderId="26" xfId="0" applyFont="1" applyFill="1" applyBorder="1" applyAlignment="1" applyProtection="1">
      <alignment horizontal="center" vertical="center"/>
      <protection locked="0"/>
    </xf>
    <xf numFmtId="169" fontId="34" fillId="53" borderId="61" xfId="49" applyNumberFormat="1" applyFont="1" applyFill="1" applyBorder="1" applyAlignment="1" applyProtection="1">
      <alignment/>
      <protection/>
    </xf>
    <xf numFmtId="171" fontId="34" fillId="53" borderId="61" xfId="0" applyNumberFormat="1" applyFont="1" applyFill="1" applyBorder="1" applyAlignment="1">
      <alignment horizontal="center"/>
    </xf>
    <xf numFmtId="0" fontId="22" fillId="54" borderId="38" xfId="0" applyFont="1" applyFill="1" applyBorder="1" applyAlignment="1" applyProtection="1">
      <alignment horizontal="center" vertical="center"/>
      <protection locked="0"/>
    </xf>
    <xf numFmtId="0" fontId="18" fillId="54" borderId="37" xfId="0" applyFont="1" applyFill="1" applyBorder="1" applyAlignment="1" applyProtection="1">
      <alignment horizontal="center" vertical="center"/>
      <protection locked="0"/>
    </xf>
    <xf numFmtId="0" fontId="18" fillId="54" borderId="38" xfId="0" applyFont="1" applyFill="1" applyBorder="1" applyAlignment="1">
      <alignment horizontal="center" vertical="center"/>
    </xf>
    <xf numFmtId="0" fontId="10" fillId="54" borderId="46" xfId="0" applyFont="1" applyFill="1" applyBorder="1" applyAlignment="1" applyProtection="1">
      <alignment vertical="center"/>
      <protection/>
    </xf>
    <xf numFmtId="0" fontId="6" fillId="54" borderId="26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169" fontId="34" fillId="53" borderId="61" xfId="49" applyNumberFormat="1" applyFont="1" applyFill="1" applyBorder="1" applyAlignment="1" applyProtection="1">
      <alignment horizontal="center"/>
      <protection/>
    </xf>
    <xf numFmtId="0" fontId="0" fillId="50" borderId="26" xfId="0" applyFill="1" applyBorder="1" applyAlignment="1" applyProtection="1">
      <alignment horizontal="center"/>
      <protection hidden="1"/>
    </xf>
    <xf numFmtId="0" fontId="0" fillId="50" borderId="46" xfId="0" applyFill="1" applyBorder="1" applyAlignment="1" applyProtection="1">
      <alignment/>
      <protection hidden="1"/>
    </xf>
    <xf numFmtId="173" fontId="16" fillId="0" borderId="0" xfId="0" applyNumberFormat="1" applyFont="1" applyFill="1" applyAlignment="1">
      <alignment horizontal="center" vertical="center"/>
    </xf>
    <xf numFmtId="10" fontId="13" fillId="50" borderId="58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0" fontId="129" fillId="0" borderId="74" xfId="0" applyNumberFormat="1" applyFont="1" applyBorder="1" applyAlignment="1">
      <alignment horizontal="center" vertical="center"/>
    </xf>
    <xf numFmtId="0" fontId="130" fillId="0" borderId="0" xfId="0" applyFont="1" applyFill="1" applyBorder="1" applyAlignment="1">
      <alignment horizontal="center"/>
    </xf>
    <xf numFmtId="0" fontId="13" fillId="55" borderId="0" xfId="0" applyFont="1" applyFill="1" applyAlignment="1">
      <alignment/>
    </xf>
    <xf numFmtId="0" fontId="13" fillId="0" borderId="0" xfId="0" applyFont="1" applyFill="1" applyAlignment="1">
      <alignment/>
    </xf>
    <xf numFmtId="0" fontId="63" fillId="47" borderId="0" xfId="0" applyFont="1" applyFill="1" applyAlignment="1">
      <alignment/>
    </xf>
    <xf numFmtId="0" fontId="0" fillId="55" borderId="15" xfId="0" applyFill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/>
      <protection/>
    </xf>
    <xf numFmtId="0" fontId="5" fillId="0" borderId="75" xfId="0" applyFont="1" applyBorder="1" applyAlignment="1">
      <alignment/>
    </xf>
    <xf numFmtId="0" fontId="6" fillId="0" borderId="53" xfId="0" applyFont="1" applyBorder="1" applyAlignment="1" applyProtection="1">
      <alignment horizontal="right"/>
      <protection/>
    </xf>
    <xf numFmtId="0" fontId="5" fillId="0" borderId="53" xfId="0" applyFont="1" applyBorder="1" applyAlignment="1">
      <alignment/>
    </xf>
    <xf numFmtId="169" fontId="34" fillId="0" borderId="61" xfId="49" applyNumberFormat="1" applyFont="1" applyFill="1" applyBorder="1" applyAlignment="1" applyProtection="1">
      <alignment/>
      <protection/>
    </xf>
    <xf numFmtId="0" fontId="0" fillId="4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9" fillId="0" borderId="54" xfId="0" applyFont="1" applyBorder="1" applyAlignment="1" applyProtection="1">
      <alignment horizontal="center"/>
      <protection hidden="1"/>
    </xf>
    <xf numFmtId="0" fontId="19" fillId="0" borderId="59" xfId="0" applyFont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center"/>
      <protection hidden="1"/>
    </xf>
    <xf numFmtId="167" fontId="19" fillId="33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56" xfId="0" applyNumberFormat="1" applyFont="1" applyBorder="1" applyAlignment="1" applyProtection="1">
      <alignment horizontal="center"/>
      <protection hidden="1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56" borderId="0" xfId="0" applyFill="1" applyAlignment="1">
      <alignment/>
    </xf>
    <xf numFmtId="0" fontId="14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56" borderId="0" xfId="0" applyFill="1" applyBorder="1" applyAlignment="1">
      <alignment/>
    </xf>
    <xf numFmtId="0" fontId="55" fillId="56" borderId="0" xfId="0" applyFont="1" applyFill="1" applyBorder="1" applyAlignment="1">
      <alignment vertical="top"/>
    </xf>
    <xf numFmtId="0" fontId="0" fillId="56" borderId="0" xfId="0" applyFill="1" applyBorder="1" applyAlignment="1">
      <alignment vertical="center"/>
    </xf>
    <xf numFmtId="0" fontId="0" fillId="56" borderId="0" xfId="0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51" borderId="26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/>
      <protection/>
    </xf>
    <xf numFmtId="0" fontId="118" fillId="0" borderId="0" xfId="45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0" fillId="11" borderId="23" xfId="0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right"/>
      <protection/>
    </xf>
    <xf numFmtId="0" fontId="26" fillId="0" borderId="0" xfId="0" applyFont="1" applyFill="1" applyAlignment="1">
      <alignment horizontal="center"/>
    </xf>
    <xf numFmtId="171" fontId="18" fillId="34" borderId="61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2" fillId="0" borderId="53" xfId="0" applyFont="1" applyFill="1" applyBorder="1" applyAlignment="1" applyProtection="1">
      <alignment vertical="center"/>
      <protection/>
    </xf>
    <xf numFmtId="169" fontId="34" fillId="57" borderId="61" xfId="49" applyNumberFormat="1" applyFont="1" applyFill="1" applyBorder="1" applyAlignment="1" applyProtection="1">
      <alignment/>
      <protection/>
    </xf>
    <xf numFmtId="169" fontId="44" fillId="57" borderId="61" xfId="49" applyNumberFormat="1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173" fontId="0" fillId="0" borderId="33" xfId="0" applyNumberFormat="1" applyFill="1" applyBorder="1" applyAlignment="1">
      <alignment/>
    </xf>
    <xf numFmtId="0" fontId="2" fillId="0" borderId="33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167" fontId="6" fillId="0" borderId="0" xfId="54" applyNumberFormat="1" applyFont="1" applyBorder="1" applyAlignment="1" applyProtection="1">
      <alignment horizontal="center"/>
      <protection/>
    </xf>
    <xf numFmtId="169" fontId="22" fillId="0" borderId="16" xfId="49" applyNumberFormat="1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/>
      <protection/>
    </xf>
    <xf numFmtId="0" fontId="0" fillId="0" borderId="57" xfId="0" applyBorder="1" applyAlignment="1">
      <alignment horizontal="center"/>
    </xf>
    <xf numFmtId="0" fontId="47" fillId="0" borderId="13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/>
    </xf>
    <xf numFmtId="0" fontId="131" fillId="50" borderId="73" xfId="0" applyFont="1" applyFill="1" applyBorder="1" applyAlignment="1" applyProtection="1">
      <alignment horizontal="left" vertical="center"/>
      <protection hidden="1"/>
    </xf>
    <xf numFmtId="0" fontId="131" fillId="50" borderId="11" xfId="0" applyFont="1" applyFill="1" applyBorder="1" applyAlignment="1" applyProtection="1">
      <alignment horizontal="left" vertical="center"/>
      <protection hidden="1"/>
    </xf>
    <xf numFmtId="0" fontId="0" fillId="55" borderId="53" xfId="0" applyFill="1" applyBorder="1" applyAlignment="1" applyProtection="1">
      <alignment/>
      <protection/>
    </xf>
    <xf numFmtId="172" fontId="13" fillId="50" borderId="26" xfId="0" applyNumberFormat="1" applyFont="1" applyFill="1" applyBorder="1" applyAlignment="1" applyProtection="1">
      <alignment horizontal="center"/>
      <protection/>
    </xf>
    <xf numFmtId="169" fontId="20" fillId="0" borderId="0" xfId="49" applyNumberFormat="1" applyFont="1" applyBorder="1" applyAlignment="1" applyProtection="1">
      <alignment horizontal="center"/>
      <protection/>
    </xf>
    <xf numFmtId="169" fontId="18" fillId="0" borderId="0" xfId="49" applyNumberFormat="1" applyFont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vertical="center"/>
      <protection/>
    </xf>
    <xf numFmtId="1" fontId="13" fillId="0" borderId="56" xfId="54" applyNumberFormat="1" applyFont="1" applyFill="1" applyBorder="1" applyAlignment="1" applyProtection="1">
      <alignment horizontal="center"/>
      <protection/>
    </xf>
    <xf numFmtId="0" fontId="0" fillId="55" borderId="53" xfId="0" applyFill="1" applyBorder="1" applyAlignment="1">
      <alignment/>
    </xf>
    <xf numFmtId="0" fontId="18" fillId="0" borderId="0" xfId="0" applyFont="1" applyFill="1" applyAlignment="1" applyProtection="1">
      <alignment/>
      <protection/>
    </xf>
    <xf numFmtId="0" fontId="0" fillId="58" borderId="0" xfId="0" applyFill="1" applyAlignment="1">
      <alignment/>
    </xf>
    <xf numFmtId="0" fontId="60" fillId="58" borderId="0" xfId="0" applyFont="1" applyFill="1" applyAlignment="1">
      <alignment vertical="center"/>
    </xf>
    <xf numFmtId="0" fontId="0" fillId="58" borderId="0" xfId="0" applyFill="1" applyAlignment="1">
      <alignment vertical="center"/>
    </xf>
    <xf numFmtId="0" fontId="17" fillId="58" borderId="0" xfId="0" applyFont="1" applyFill="1" applyAlignment="1">
      <alignment vertical="center"/>
    </xf>
    <xf numFmtId="0" fontId="0" fillId="58" borderId="0" xfId="0" applyFont="1" applyFill="1" applyAlignment="1">
      <alignment vertical="center"/>
    </xf>
    <xf numFmtId="0" fontId="0" fillId="55" borderId="0" xfId="0" applyFill="1" applyAlignment="1">
      <alignment/>
    </xf>
    <xf numFmtId="0" fontId="10" fillId="0" borderId="36" xfId="0" applyFont="1" applyBorder="1" applyAlignment="1" applyProtection="1">
      <alignment horizontal="center"/>
      <protection/>
    </xf>
    <xf numFmtId="172" fontId="10" fillId="0" borderId="36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/>
      <protection/>
    </xf>
    <xf numFmtId="0" fontId="6" fillId="0" borderId="44" xfId="0" applyFont="1" applyBorder="1" applyAlignment="1" applyProtection="1">
      <alignment horizontal="right"/>
      <protection/>
    </xf>
    <xf numFmtId="0" fontId="5" fillId="0" borderId="44" xfId="0" applyFont="1" applyBorder="1" applyAlignment="1">
      <alignment/>
    </xf>
    <xf numFmtId="0" fontId="0" fillId="0" borderId="54" xfId="0" applyFont="1" applyFill="1" applyBorder="1" applyAlignment="1" applyProtection="1">
      <alignment/>
      <protection/>
    </xf>
    <xf numFmtId="0" fontId="6" fillId="0" borderId="59" xfId="0" applyFont="1" applyBorder="1" applyAlignment="1" applyProtection="1">
      <alignment/>
      <protection/>
    </xf>
    <xf numFmtId="0" fontId="17" fillId="0" borderId="44" xfId="0" applyFont="1" applyBorder="1" applyAlignment="1">
      <alignment/>
    </xf>
    <xf numFmtId="0" fontId="26" fillId="0" borderId="44" xfId="0" applyFont="1" applyBorder="1" applyAlignment="1">
      <alignment horizontal="right"/>
    </xf>
    <xf numFmtId="0" fontId="0" fillId="58" borderId="0" xfId="0" applyFill="1" applyBorder="1" applyAlignment="1">
      <alignment/>
    </xf>
    <xf numFmtId="0" fontId="0" fillId="0" borderId="56" xfId="0" applyFont="1" applyBorder="1" applyAlignment="1">
      <alignment/>
    </xf>
    <xf numFmtId="169" fontId="34" fillId="0" borderId="57" xfId="49" applyNumberFormat="1" applyFont="1" applyFill="1" applyBorder="1" applyAlignment="1" applyProtection="1">
      <alignment/>
      <protection/>
    </xf>
    <xf numFmtId="0" fontId="22" fillId="0" borderId="54" xfId="0" applyFont="1" applyBorder="1" applyAlignment="1" applyProtection="1">
      <alignment/>
      <protection/>
    </xf>
    <xf numFmtId="0" fontId="22" fillId="0" borderId="53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 horizontal="center" vertical="center"/>
      <protection/>
    </xf>
    <xf numFmtId="169" fontId="7" fillId="0" borderId="59" xfId="49" applyNumberFormat="1" applyFont="1" applyBorder="1" applyAlignment="1" applyProtection="1">
      <alignment/>
      <protection/>
    </xf>
    <xf numFmtId="0" fontId="7" fillId="0" borderId="56" xfId="0" applyFont="1" applyBorder="1" applyAlignment="1" applyProtection="1">
      <alignment/>
      <protection/>
    </xf>
    <xf numFmtId="165" fontId="7" fillId="0" borderId="57" xfId="49" applyFont="1" applyBorder="1" applyAlignment="1" applyProtection="1">
      <alignment/>
      <protection/>
    </xf>
    <xf numFmtId="0" fontId="7" fillId="0" borderId="79" xfId="0" applyFont="1" applyBorder="1" applyAlignment="1" applyProtection="1">
      <alignment/>
      <protection/>
    </xf>
    <xf numFmtId="0" fontId="5" fillId="0" borderId="56" xfId="0" applyFont="1" applyFill="1" applyBorder="1" applyAlignment="1" applyProtection="1">
      <alignment/>
      <protection/>
    </xf>
    <xf numFmtId="0" fontId="5" fillId="0" borderId="57" xfId="0" applyFont="1" applyFill="1" applyBorder="1" applyAlignment="1">
      <alignment/>
    </xf>
    <xf numFmtId="0" fontId="22" fillId="0" borderId="30" xfId="0" applyFont="1" applyBorder="1" applyAlignment="1" applyProtection="1">
      <alignment/>
      <protection/>
    </xf>
    <xf numFmtId="169" fontId="7" fillId="0" borderId="80" xfId="49" applyNumberFormat="1" applyFont="1" applyBorder="1" applyAlignment="1" applyProtection="1">
      <alignment/>
      <protection/>
    </xf>
    <xf numFmtId="169" fontId="7" fillId="0" borderId="57" xfId="49" applyNumberFormat="1" applyFont="1" applyBorder="1" applyAlignment="1" applyProtection="1">
      <alignment/>
      <protection/>
    </xf>
    <xf numFmtId="0" fontId="5" fillId="0" borderId="55" xfId="0" applyFont="1" applyBorder="1" applyAlignment="1">
      <alignment/>
    </xf>
    <xf numFmtId="0" fontId="6" fillId="0" borderId="44" xfId="0" applyFont="1" applyBorder="1" applyAlignment="1" applyProtection="1">
      <alignment/>
      <protection/>
    </xf>
    <xf numFmtId="0" fontId="18" fillId="0" borderId="54" xfId="0" applyFont="1" applyBorder="1" applyAlignment="1">
      <alignment/>
    </xf>
    <xf numFmtId="0" fontId="6" fillId="0" borderId="56" xfId="0" applyFont="1" applyBorder="1" applyAlignment="1" applyProtection="1">
      <alignment/>
      <protection/>
    </xf>
    <xf numFmtId="0" fontId="5" fillId="0" borderId="56" xfId="0" applyFont="1" applyBorder="1" applyAlignment="1">
      <alignment/>
    </xf>
    <xf numFmtId="169" fontId="13" fillId="0" borderId="59" xfId="49" applyNumberFormat="1" applyFont="1" applyBorder="1" applyAlignment="1" applyProtection="1">
      <alignment horizontal="center"/>
      <protection/>
    </xf>
    <xf numFmtId="169" fontId="13" fillId="0" borderId="57" xfId="49" applyNumberFormat="1" applyFont="1" applyBorder="1" applyAlignment="1" applyProtection="1">
      <alignment horizontal="center"/>
      <protection/>
    </xf>
    <xf numFmtId="0" fontId="40" fillId="0" borderId="44" xfId="0" applyFont="1" applyBorder="1" applyAlignment="1" applyProtection="1">
      <alignment/>
      <protection hidden="1"/>
    </xf>
    <xf numFmtId="0" fontId="5" fillId="5" borderId="1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5" fillId="5" borderId="14" xfId="0" applyFont="1" applyFill="1" applyBorder="1" applyAlignment="1">
      <alignment/>
    </xf>
    <xf numFmtId="0" fontId="10" fillId="0" borderId="35" xfId="0" applyFont="1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0" fillId="51" borderId="81" xfId="0" applyFont="1" applyFill="1" applyBorder="1" applyAlignment="1" applyProtection="1">
      <alignment horizontal="center" vertical="center"/>
      <protection hidden="1" locked="0"/>
    </xf>
    <xf numFmtId="0" fontId="0" fillId="51" borderId="36" xfId="0" applyFont="1" applyFill="1" applyBorder="1" applyAlignment="1" applyProtection="1">
      <alignment horizontal="center" vertical="center"/>
      <protection hidden="1" locked="0"/>
    </xf>
    <xf numFmtId="0" fontId="0" fillId="51" borderId="26" xfId="0" applyFont="1" applyFill="1" applyBorder="1" applyAlignment="1" applyProtection="1">
      <alignment horizontal="center" vertical="center"/>
      <protection hidden="1" locked="0"/>
    </xf>
    <xf numFmtId="0" fontId="59" fillId="0" borderId="82" xfId="0" applyFont="1" applyBorder="1" applyAlignment="1">
      <alignment horizontal="center" vertical="center"/>
    </xf>
    <xf numFmtId="167" fontId="0" fillId="0" borderId="0" xfId="54" applyNumberFormat="1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55" borderId="0" xfId="0" applyFill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/>
    </xf>
    <xf numFmtId="0" fontId="0" fillId="0" borderId="7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0" fillId="0" borderId="87" xfId="0" applyFont="1" applyBorder="1" applyAlignment="1">
      <alignment horizontal="center"/>
    </xf>
    <xf numFmtId="0" fontId="0" fillId="51" borderId="43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>
      <alignment vertical="center"/>
    </xf>
    <xf numFmtId="177" fontId="13" fillId="50" borderId="88" xfId="0" applyNumberFormat="1" applyFont="1" applyFill="1" applyBorder="1" applyAlignment="1" applyProtection="1">
      <alignment horizontal="center" vertical="center"/>
      <protection hidden="1"/>
    </xf>
    <xf numFmtId="0" fontId="0" fillId="50" borderId="88" xfId="0" applyFont="1" applyFill="1" applyBorder="1" applyAlignment="1" applyProtection="1">
      <alignment horizontal="center" vertical="center"/>
      <protection hidden="1"/>
    </xf>
    <xf numFmtId="0" fontId="13" fillId="55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44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78" fillId="0" borderId="0" xfId="0" applyFont="1" applyBorder="1" applyAlignment="1">
      <alignment vertical="top" wrapText="1"/>
    </xf>
    <xf numFmtId="0" fontId="22" fillId="0" borderId="0" xfId="0" applyFont="1" applyAlignment="1" applyProtection="1">
      <alignment/>
      <protection hidden="1"/>
    </xf>
    <xf numFmtId="0" fontId="71" fillId="0" borderId="0" xfId="0" applyFont="1" applyFill="1" applyAlignment="1" applyProtection="1">
      <alignment vertical="center"/>
      <protection/>
    </xf>
    <xf numFmtId="0" fontId="26" fillId="58" borderId="0" xfId="0" applyFont="1" applyFill="1" applyBorder="1" applyAlignment="1">
      <alignment/>
    </xf>
    <xf numFmtId="0" fontId="0" fillId="58" borderId="0" xfId="0" applyFill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/>
      <protection locked="0"/>
    </xf>
    <xf numFmtId="2" fontId="3" fillId="0" borderId="33" xfId="0" applyNumberFormat="1" applyFont="1" applyFill="1" applyBorder="1" applyAlignment="1" applyProtection="1">
      <alignment horizontal="center" vertical="center"/>
      <protection/>
    </xf>
    <xf numFmtId="171" fontId="13" fillId="33" borderId="6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5" fillId="58" borderId="0" xfId="0" applyFont="1" applyFill="1" applyAlignment="1">
      <alignment/>
    </xf>
    <xf numFmtId="0" fontId="40" fillId="58" borderId="0" xfId="0" applyFont="1" applyFill="1" applyAlignment="1" applyProtection="1">
      <alignment/>
      <protection/>
    </xf>
    <xf numFmtId="171" fontId="13" fillId="34" borderId="61" xfId="0" applyNumberFormat="1" applyFont="1" applyFill="1" applyBorder="1" applyAlignment="1" applyProtection="1">
      <alignment horizontal="center"/>
      <protection/>
    </xf>
    <xf numFmtId="0" fontId="18" fillId="55" borderId="0" xfId="0" applyFont="1" applyFill="1" applyBorder="1" applyAlignment="1" applyProtection="1">
      <alignment horizontal="center" vertical="center"/>
      <protection/>
    </xf>
    <xf numFmtId="172" fontId="26" fillId="55" borderId="0" xfId="0" applyNumberFormat="1" applyFont="1" applyFill="1" applyBorder="1" applyAlignment="1" applyProtection="1">
      <alignment horizontal="center" vertical="center"/>
      <protection locked="0"/>
    </xf>
    <xf numFmtId="0" fontId="132" fillId="55" borderId="0" xfId="0" applyFont="1" applyFill="1" applyBorder="1" applyAlignment="1" applyProtection="1">
      <alignment vertical="center"/>
      <protection/>
    </xf>
    <xf numFmtId="0" fontId="18" fillId="55" borderId="0" xfId="0" applyFont="1" applyFill="1" applyBorder="1" applyAlignment="1" applyProtection="1">
      <alignment vertical="center"/>
      <protection/>
    </xf>
    <xf numFmtId="0" fontId="0" fillId="55" borderId="0" xfId="0" applyFill="1" applyBorder="1" applyAlignment="1">
      <alignment/>
    </xf>
    <xf numFmtId="172" fontId="26" fillId="55" borderId="0" xfId="0" applyNumberFormat="1" applyFont="1" applyFill="1" applyBorder="1" applyAlignment="1" applyProtection="1">
      <alignment vertical="center"/>
      <protection locked="0"/>
    </xf>
    <xf numFmtId="178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72" fontId="34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vertical="center"/>
      <protection/>
    </xf>
    <xf numFmtId="171" fontId="48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/>
      <protection/>
    </xf>
    <xf numFmtId="171" fontId="12" fillId="0" borderId="0" xfId="0" applyNumberFormat="1" applyFont="1" applyFill="1" applyBorder="1" applyAlignment="1">
      <alignment vertical="center"/>
    </xf>
    <xf numFmtId="0" fontId="133" fillId="0" borderId="0" xfId="0" applyFont="1" applyFill="1" applyBorder="1" applyAlignment="1" applyProtection="1">
      <alignment vertical="center"/>
      <protection/>
    </xf>
    <xf numFmtId="179" fontId="13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>
      <alignment horizontal="center"/>
    </xf>
    <xf numFmtId="9" fontId="0" fillId="0" borderId="56" xfId="54" applyFont="1" applyFill="1" applyBorder="1" applyAlignment="1">
      <alignment horizontal="center"/>
    </xf>
    <xf numFmtId="1" fontId="0" fillId="59" borderId="58" xfId="0" applyNumberFormat="1" applyFill="1" applyBorder="1" applyAlignment="1">
      <alignment horizontal="center"/>
    </xf>
    <xf numFmtId="0" fontId="13" fillId="0" borderId="0" xfId="49" applyNumberFormat="1" applyFont="1" applyBorder="1" applyAlignment="1" applyProtection="1">
      <alignment horizontal="center"/>
      <protection/>
    </xf>
    <xf numFmtId="177" fontId="59" fillId="51" borderId="0" xfId="0" applyNumberFormat="1" applyFont="1" applyFill="1" applyAlignment="1" applyProtection="1">
      <alignment horizontal="center"/>
      <protection locked="0"/>
    </xf>
    <xf numFmtId="177" fontId="59" fillId="51" borderId="0" xfId="0" applyNumberFormat="1" applyFont="1" applyFill="1" applyAlignment="1">
      <alignment horizontal="center"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171" fontId="13" fillId="34" borderId="12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ill="1" applyBorder="1" applyAlignment="1">
      <alignment horizontal="center"/>
    </xf>
    <xf numFmtId="0" fontId="0" fillId="5" borderId="0" xfId="0" applyFill="1" applyAlignment="1">
      <alignment vertical="center"/>
    </xf>
    <xf numFmtId="0" fontId="10" fillId="0" borderId="35" xfId="0" applyFont="1" applyBorder="1" applyAlignment="1" applyProtection="1">
      <alignment horizontal="center" vertical="center"/>
      <protection/>
    </xf>
    <xf numFmtId="172" fontId="10" fillId="0" borderId="36" xfId="0" applyNumberFormat="1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172" fontId="10" fillId="0" borderId="26" xfId="0" applyNumberFormat="1" applyFont="1" applyBorder="1" applyAlignment="1" applyProtection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167" fontId="10" fillId="0" borderId="26" xfId="54" applyNumberFormat="1" applyFont="1" applyFill="1" applyBorder="1" applyAlignment="1" applyProtection="1">
      <alignment horizontal="center" vertical="center"/>
      <protection/>
    </xf>
    <xf numFmtId="0" fontId="13" fillId="32" borderId="45" xfId="0" applyFont="1" applyFill="1" applyBorder="1" applyAlignment="1" applyProtection="1">
      <alignment horizontal="center" vertical="center"/>
      <protection/>
    </xf>
    <xf numFmtId="0" fontId="13" fillId="32" borderId="46" xfId="0" applyFont="1" applyFill="1" applyBorder="1" applyAlignment="1" applyProtection="1">
      <alignment horizontal="center" vertical="center"/>
      <protection/>
    </xf>
    <xf numFmtId="0" fontId="13" fillId="32" borderId="5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top"/>
    </xf>
    <xf numFmtId="171" fontId="3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9" fontId="24" fillId="60" borderId="55" xfId="0" applyNumberFormat="1" applyFont="1" applyFill="1" applyBorder="1" applyAlignment="1" applyProtection="1">
      <alignment horizontal="center" vertical="center"/>
      <protection hidden="1"/>
    </xf>
    <xf numFmtId="179" fontId="24" fillId="60" borderId="44" xfId="0" applyNumberFormat="1" applyFont="1" applyFill="1" applyBorder="1" applyAlignment="1" applyProtection="1">
      <alignment horizontal="center" vertical="center"/>
      <protection hidden="1"/>
    </xf>
    <xf numFmtId="179" fontId="24" fillId="60" borderId="58" xfId="0" applyNumberFormat="1" applyFont="1" applyFill="1" applyBorder="1" applyAlignment="1" applyProtection="1">
      <alignment horizontal="center" vertical="center"/>
      <protection hidden="1"/>
    </xf>
    <xf numFmtId="0" fontId="133" fillId="50" borderId="12" xfId="0" applyFont="1" applyFill="1" applyBorder="1" applyAlignment="1" applyProtection="1">
      <alignment horizontal="center" vertical="center"/>
      <protection/>
    </xf>
    <xf numFmtId="0" fontId="133" fillId="50" borderId="15" xfId="0" applyFont="1" applyFill="1" applyBorder="1" applyAlignment="1" applyProtection="1">
      <alignment horizontal="center" vertical="center"/>
      <protection/>
    </xf>
    <xf numFmtId="0" fontId="133" fillId="50" borderId="21" xfId="0" applyFont="1" applyFill="1" applyBorder="1" applyAlignment="1" applyProtection="1">
      <alignment horizontal="center" vertical="center"/>
      <protection/>
    </xf>
    <xf numFmtId="0" fontId="18" fillId="50" borderId="12" xfId="0" applyFont="1" applyFill="1" applyBorder="1" applyAlignment="1" applyProtection="1">
      <alignment horizontal="center" vertical="center"/>
      <protection/>
    </xf>
    <xf numFmtId="0" fontId="18" fillId="50" borderId="15" xfId="0" applyFont="1" applyFill="1" applyBorder="1" applyAlignment="1" applyProtection="1">
      <alignment horizontal="center" vertical="center"/>
      <protection/>
    </xf>
    <xf numFmtId="172" fontId="26" fillId="51" borderId="12" xfId="0" applyNumberFormat="1" applyFont="1" applyFill="1" applyBorder="1" applyAlignment="1" applyProtection="1">
      <alignment horizontal="center" vertical="center"/>
      <protection locked="0"/>
    </xf>
    <xf numFmtId="172" fontId="26" fillId="51" borderId="21" xfId="0" applyNumberFormat="1" applyFont="1" applyFill="1" applyBorder="1" applyAlignment="1" applyProtection="1">
      <alignment horizontal="center" vertical="center"/>
      <protection locked="0"/>
    </xf>
    <xf numFmtId="178" fontId="68" fillId="50" borderId="55" xfId="49" applyNumberFormat="1" applyFont="1" applyFill="1" applyBorder="1" applyAlignment="1" applyProtection="1">
      <alignment horizontal="center" vertical="center"/>
      <protection/>
    </xf>
    <xf numFmtId="178" fontId="68" fillId="50" borderId="58" xfId="49" applyNumberFormat="1" applyFont="1" applyFill="1" applyBorder="1" applyAlignment="1" applyProtection="1">
      <alignment horizontal="center" vertical="center"/>
      <protection/>
    </xf>
    <xf numFmtId="0" fontId="34" fillId="50" borderId="55" xfId="0" applyFont="1" applyFill="1" applyBorder="1" applyAlignment="1" applyProtection="1">
      <alignment horizontal="center" vertical="center"/>
      <protection/>
    </xf>
    <xf numFmtId="0" fontId="34" fillId="50" borderId="44" xfId="0" applyFont="1" applyFill="1" applyBorder="1" applyAlignment="1" applyProtection="1">
      <alignment horizontal="center" vertical="center"/>
      <protection/>
    </xf>
    <xf numFmtId="0" fontId="34" fillId="50" borderId="58" xfId="0" applyFont="1" applyFill="1" applyBorder="1" applyAlignment="1" applyProtection="1">
      <alignment horizontal="center" vertical="center"/>
      <protection/>
    </xf>
    <xf numFmtId="172" fontId="34" fillId="50" borderId="12" xfId="0" applyNumberFormat="1" applyFont="1" applyFill="1" applyBorder="1" applyAlignment="1" applyProtection="1">
      <alignment horizontal="center" vertical="center"/>
      <protection hidden="1"/>
    </xf>
    <xf numFmtId="172" fontId="34" fillId="50" borderId="15" xfId="0" applyNumberFormat="1" applyFont="1" applyFill="1" applyBorder="1" applyAlignment="1" applyProtection="1">
      <alignment horizontal="center" vertical="center"/>
      <protection hidden="1"/>
    </xf>
    <xf numFmtId="172" fontId="34" fillId="50" borderId="21" xfId="0" applyNumberFormat="1" applyFont="1" applyFill="1" applyBorder="1" applyAlignment="1" applyProtection="1">
      <alignment horizontal="center" vertical="center"/>
      <protection hidden="1"/>
    </xf>
    <xf numFmtId="0" fontId="132" fillId="50" borderId="12" xfId="0" applyFont="1" applyFill="1" applyBorder="1" applyAlignment="1" applyProtection="1">
      <alignment horizontal="center" vertical="center"/>
      <protection/>
    </xf>
    <xf numFmtId="0" fontId="132" fillId="50" borderId="21" xfId="0" applyFont="1" applyFill="1" applyBorder="1" applyAlignment="1" applyProtection="1">
      <alignment horizontal="center" vertical="center"/>
      <protection/>
    </xf>
    <xf numFmtId="0" fontId="132" fillId="50" borderId="15" xfId="0" applyFont="1" applyFill="1" applyBorder="1" applyAlignment="1" applyProtection="1">
      <alignment horizontal="center" vertical="center"/>
      <protection/>
    </xf>
    <xf numFmtId="0" fontId="34" fillId="50" borderId="12" xfId="0" applyFont="1" applyFill="1" applyBorder="1" applyAlignment="1" applyProtection="1">
      <alignment horizontal="center" vertical="center"/>
      <protection/>
    </xf>
    <xf numFmtId="0" fontId="34" fillId="50" borderId="15" xfId="0" applyFont="1" applyFill="1" applyBorder="1" applyAlignment="1" applyProtection="1">
      <alignment horizontal="center" vertical="center"/>
      <protection/>
    </xf>
    <xf numFmtId="0" fontId="34" fillId="50" borderId="21" xfId="0" applyFont="1" applyFill="1" applyBorder="1" applyAlignment="1" applyProtection="1">
      <alignment horizontal="center" vertical="center"/>
      <protection/>
    </xf>
    <xf numFmtId="172" fontId="34" fillId="50" borderId="12" xfId="0" applyNumberFormat="1" applyFont="1" applyFill="1" applyBorder="1" applyAlignment="1" applyProtection="1">
      <alignment horizontal="center" vertical="center"/>
      <protection locked="0"/>
    </xf>
    <xf numFmtId="172" fontId="34" fillId="50" borderId="15" xfId="0" applyNumberFormat="1" applyFont="1" applyFill="1" applyBorder="1" applyAlignment="1" applyProtection="1">
      <alignment horizontal="center" vertical="center"/>
      <protection locked="0"/>
    </xf>
    <xf numFmtId="172" fontId="34" fillId="50" borderId="21" xfId="0" applyNumberFormat="1" applyFont="1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>
      <alignment horizontal="center" vertical="center"/>
    </xf>
    <xf numFmtId="0" fontId="0" fillId="51" borderId="83" xfId="0" applyFont="1" applyFill="1" applyBorder="1" applyAlignment="1" applyProtection="1">
      <alignment horizontal="left"/>
      <protection locked="0"/>
    </xf>
    <xf numFmtId="0" fontId="0" fillId="51" borderId="42" xfId="0" applyFont="1" applyFill="1" applyBorder="1" applyAlignment="1" applyProtection="1">
      <alignment horizontal="left"/>
      <protection locked="0"/>
    </xf>
    <xf numFmtId="0" fontId="0" fillId="51" borderId="76" xfId="0" applyFont="1" applyFill="1" applyBorder="1" applyAlignment="1" applyProtection="1">
      <alignment horizontal="left"/>
      <protection locked="0"/>
    </xf>
    <xf numFmtId="0" fontId="135" fillId="50" borderId="25" xfId="0" applyFont="1" applyFill="1" applyBorder="1" applyAlignment="1" applyProtection="1">
      <alignment horizontal="left" vertical="center"/>
      <protection hidden="1"/>
    </xf>
    <xf numFmtId="0" fontId="135" fillId="50" borderId="26" xfId="0" applyFont="1" applyFill="1" applyBorder="1" applyAlignment="1" applyProtection="1">
      <alignment horizontal="left" vertical="center"/>
      <protection hidden="1"/>
    </xf>
    <xf numFmtId="0" fontId="135" fillId="50" borderId="46" xfId="0" applyFont="1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/>
    </xf>
    <xf numFmtId="0" fontId="0" fillId="0" borderId="59" xfId="0" applyBorder="1" applyAlignment="1">
      <alignment horizontal="center"/>
    </xf>
    <xf numFmtId="14" fontId="0" fillId="0" borderId="5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3" fillId="51" borderId="25" xfId="0" applyNumberFormat="1" applyFont="1" applyFill="1" applyBorder="1" applyAlignment="1" applyProtection="1">
      <alignment horizontal="left"/>
      <protection locked="0"/>
    </xf>
    <xf numFmtId="14" fontId="13" fillId="51" borderId="26" xfId="0" applyNumberFormat="1" applyFont="1" applyFill="1" applyBorder="1" applyAlignment="1" applyProtection="1">
      <alignment horizontal="left"/>
      <protection locked="0"/>
    </xf>
    <xf numFmtId="14" fontId="13" fillId="51" borderId="46" xfId="0" applyNumberFormat="1" applyFont="1" applyFill="1" applyBorder="1" applyAlignment="1" applyProtection="1">
      <alignment horizontal="left"/>
      <protection locked="0"/>
    </xf>
    <xf numFmtId="0" fontId="129" fillId="50" borderId="54" xfId="0" applyFont="1" applyFill="1" applyBorder="1" applyAlignment="1" applyProtection="1">
      <alignment horizontal="center" vertical="justify" wrapText="1"/>
      <protection/>
    </xf>
    <xf numFmtId="0" fontId="129" fillId="50" borderId="53" xfId="0" applyFont="1" applyFill="1" applyBorder="1" applyAlignment="1" applyProtection="1">
      <alignment horizontal="center" vertical="justify" wrapText="1"/>
      <protection/>
    </xf>
    <xf numFmtId="0" fontId="129" fillId="50" borderId="59" xfId="0" applyFont="1" applyFill="1" applyBorder="1" applyAlignment="1" applyProtection="1">
      <alignment horizontal="center" vertical="justify" wrapText="1"/>
      <protection/>
    </xf>
    <xf numFmtId="0" fontId="129" fillId="50" borderId="56" xfId="0" applyFont="1" applyFill="1" applyBorder="1" applyAlignment="1" applyProtection="1">
      <alignment horizontal="center" vertical="justify" wrapText="1"/>
      <protection/>
    </xf>
    <xf numFmtId="0" fontId="129" fillId="50" borderId="0" xfId="0" applyFont="1" applyFill="1" applyBorder="1" applyAlignment="1" applyProtection="1">
      <alignment horizontal="center" vertical="justify" wrapText="1"/>
      <protection/>
    </xf>
    <xf numFmtId="0" fontId="129" fillId="50" borderId="57" xfId="0" applyFont="1" applyFill="1" applyBorder="1" applyAlignment="1" applyProtection="1">
      <alignment horizontal="center" vertical="justify" wrapText="1"/>
      <protection/>
    </xf>
    <xf numFmtId="0" fontId="129" fillId="50" borderId="79" xfId="0" applyFont="1" applyFill="1" applyBorder="1" applyAlignment="1" applyProtection="1">
      <alignment horizontal="center" vertical="justify" wrapText="1"/>
      <protection/>
    </xf>
    <xf numFmtId="0" fontId="129" fillId="50" borderId="13" xfId="0" applyFont="1" applyFill="1" applyBorder="1" applyAlignment="1" applyProtection="1">
      <alignment horizontal="center" vertical="justify" wrapText="1"/>
      <protection/>
    </xf>
    <xf numFmtId="0" fontId="129" fillId="50" borderId="89" xfId="0" applyFont="1" applyFill="1" applyBorder="1" applyAlignment="1" applyProtection="1">
      <alignment horizontal="center" vertical="justify" wrapText="1"/>
      <protection/>
    </xf>
    <xf numFmtId="0" fontId="0" fillId="51" borderId="25" xfId="0" applyFont="1" applyFill="1" applyBorder="1" applyAlignment="1" applyProtection="1">
      <alignment horizontal="left"/>
      <protection locked="0"/>
    </xf>
    <xf numFmtId="0" fontId="0" fillId="51" borderId="26" xfId="0" applyFont="1" applyFill="1" applyBorder="1" applyAlignment="1" applyProtection="1">
      <alignment horizontal="left"/>
      <protection locked="0"/>
    </xf>
    <xf numFmtId="0" fontId="0" fillId="51" borderId="46" xfId="0" applyFont="1" applyFill="1" applyBorder="1" applyAlignment="1" applyProtection="1">
      <alignment horizontal="left"/>
      <protection locked="0"/>
    </xf>
    <xf numFmtId="49" fontId="0" fillId="51" borderId="25" xfId="0" applyNumberFormat="1" applyFont="1" applyFill="1" applyBorder="1" applyAlignment="1" applyProtection="1">
      <alignment horizontal="left"/>
      <protection locked="0"/>
    </xf>
    <xf numFmtId="49" fontId="0" fillId="51" borderId="26" xfId="0" applyNumberFormat="1" applyFont="1" applyFill="1" applyBorder="1" applyAlignment="1" applyProtection="1">
      <alignment horizontal="left"/>
      <protection locked="0"/>
    </xf>
    <xf numFmtId="49" fontId="0" fillId="51" borderId="46" xfId="0" applyNumberFormat="1" applyFont="1" applyFill="1" applyBorder="1" applyAlignment="1" applyProtection="1">
      <alignment horizontal="left"/>
      <protection locked="0"/>
    </xf>
    <xf numFmtId="0" fontId="135" fillId="50" borderId="41" xfId="0" applyFont="1" applyFill="1" applyBorder="1" applyAlignment="1" applyProtection="1">
      <alignment horizontal="left" vertical="center"/>
      <protection hidden="1"/>
    </xf>
    <xf numFmtId="0" fontId="135" fillId="50" borderId="71" xfId="0" applyFont="1" applyFill="1" applyBorder="1" applyAlignment="1" applyProtection="1">
      <alignment horizontal="left" vertical="center"/>
      <protection hidden="1"/>
    </xf>
    <xf numFmtId="0" fontId="135" fillId="50" borderId="51" xfId="0" applyFont="1" applyFill="1" applyBorder="1" applyAlignment="1" applyProtection="1">
      <alignment horizontal="left" vertical="center"/>
      <protection hidden="1"/>
    </xf>
    <xf numFmtId="0" fontId="136" fillId="50" borderId="12" xfId="0" applyFont="1" applyFill="1" applyBorder="1" applyAlignment="1" applyProtection="1">
      <alignment horizontal="center"/>
      <protection/>
    </xf>
    <xf numFmtId="0" fontId="136" fillId="50" borderId="15" xfId="0" applyFont="1" applyFill="1" applyBorder="1" applyAlignment="1" applyProtection="1">
      <alignment horizontal="center"/>
      <protection/>
    </xf>
    <xf numFmtId="0" fontId="136" fillId="50" borderId="21" xfId="0" applyFont="1" applyFill="1" applyBorder="1" applyAlignment="1" applyProtection="1">
      <alignment horizontal="center"/>
      <protection/>
    </xf>
    <xf numFmtId="0" fontId="0" fillId="51" borderId="41" xfId="0" applyFont="1" applyFill="1" applyBorder="1" applyAlignment="1" applyProtection="1">
      <alignment horizontal="left"/>
      <protection locked="0"/>
    </xf>
    <xf numFmtId="0" fontId="0" fillId="51" borderId="71" xfId="0" applyFont="1" applyFill="1" applyBorder="1" applyAlignment="1" applyProtection="1">
      <alignment horizontal="left"/>
      <protection locked="0"/>
    </xf>
    <xf numFmtId="0" fontId="0" fillId="51" borderId="51" xfId="0" applyFont="1" applyFill="1" applyBorder="1" applyAlignment="1" applyProtection="1">
      <alignment horizontal="left"/>
      <protection locked="0"/>
    </xf>
    <xf numFmtId="0" fontId="32" fillId="37" borderId="12" xfId="0" applyFont="1" applyFill="1" applyBorder="1" applyAlignment="1" applyProtection="1">
      <alignment horizontal="center"/>
      <protection/>
    </xf>
    <xf numFmtId="0" fontId="32" fillId="37" borderId="15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171" fontId="48" fillId="50" borderId="12" xfId="0" applyNumberFormat="1" applyFont="1" applyFill="1" applyBorder="1" applyAlignment="1">
      <alignment horizontal="center" vertical="center"/>
    </xf>
    <xf numFmtId="171" fontId="48" fillId="50" borderId="15" xfId="0" applyNumberFormat="1" applyFont="1" applyFill="1" applyBorder="1" applyAlignment="1">
      <alignment horizontal="center" vertical="center"/>
    </xf>
    <xf numFmtId="171" fontId="48" fillId="50" borderId="21" xfId="0" applyNumberFormat="1" applyFont="1" applyFill="1" applyBorder="1" applyAlignment="1">
      <alignment horizontal="center" vertical="center"/>
    </xf>
    <xf numFmtId="179" fontId="134" fillId="61" borderId="12" xfId="0" applyNumberFormat="1" applyFont="1" applyFill="1" applyBorder="1" applyAlignment="1" applyProtection="1">
      <alignment horizontal="center" vertical="center"/>
      <protection hidden="1"/>
    </xf>
    <xf numFmtId="179" fontId="134" fillId="61" borderId="15" xfId="0" applyNumberFormat="1" applyFont="1" applyFill="1" applyBorder="1" applyAlignment="1" applyProtection="1">
      <alignment horizontal="center" vertical="center"/>
      <protection hidden="1"/>
    </xf>
    <xf numFmtId="179" fontId="134" fillId="61" borderId="21" xfId="0" applyNumberFormat="1" applyFont="1" applyFill="1" applyBorder="1" applyAlignment="1" applyProtection="1">
      <alignment horizontal="center" vertical="center"/>
      <protection hidden="1"/>
    </xf>
    <xf numFmtId="0" fontId="0" fillId="55" borderId="0" xfId="0" applyFill="1" applyAlignment="1">
      <alignment horizontal="center"/>
    </xf>
    <xf numFmtId="0" fontId="0" fillId="55" borderId="10" xfId="0" applyFill="1" applyBorder="1" applyAlignment="1" applyProtection="1">
      <alignment horizontal="center"/>
      <protection/>
    </xf>
    <xf numFmtId="0" fontId="0" fillId="55" borderId="0" xfId="0" applyFill="1" applyAlignment="1" applyProtection="1">
      <alignment horizontal="center"/>
      <protection/>
    </xf>
    <xf numFmtId="171" fontId="12" fillId="50" borderId="12" xfId="0" applyNumberFormat="1" applyFont="1" applyFill="1" applyBorder="1" applyAlignment="1">
      <alignment horizontal="center" vertical="center"/>
    </xf>
    <xf numFmtId="171" fontId="12" fillId="50" borderId="15" xfId="0" applyNumberFormat="1" applyFont="1" applyFill="1" applyBorder="1" applyAlignment="1">
      <alignment horizontal="center" vertical="center"/>
    </xf>
    <xf numFmtId="171" fontId="12" fillId="50" borderId="21" xfId="0" applyNumberFormat="1" applyFont="1" applyFill="1" applyBorder="1" applyAlignment="1">
      <alignment horizontal="center" vertical="center"/>
    </xf>
    <xf numFmtId="0" fontId="133" fillId="50" borderId="12" xfId="0" applyFont="1" applyFill="1" applyBorder="1" applyAlignment="1" applyProtection="1">
      <alignment horizontal="center" vertical="center"/>
      <protection locked="0"/>
    </xf>
    <xf numFmtId="0" fontId="133" fillId="50" borderId="15" xfId="0" applyFont="1" applyFill="1" applyBorder="1" applyAlignment="1" applyProtection="1">
      <alignment horizontal="center" vertical="center"/>
      <protection locked="0"/>
    </xf>
    <xf numFmtId="0" fontId="133" fillId="50" borderId="21" xfId="0" applyFont="1" applyFill="1" applyBorder="1" applyAlignment="1" applyProtection="1">
      <alignment horizontal="center" vertical="center"/>
      <protection locked="0"/>
    </xf>
    <xf numFmtId="0" fontId="70" fillId="50" borderId="12" xfId="0" applyFont="1" applyFill="1" applyBorder="1" applyAlignment="1" applyProtection="1">
      <alignment horizontal="left" vertical="center"/>
      <protection locked="0"/>
    </xf>
    <xf numFmtId="0" fontId="70" fillId="50" borderId="15" xfId="0" applyFont="1" applyFill="1" applyBorder="1" applyAlignment="1" applyProtection="1">
      <alignment horizontal="left" vertical="center"/>
      <protection locked="0"/>
    </xf>
    <xf numFmtId="0" fontId="70" fillId="50" borderId="21" xfId="0" applyFont="1" applyFill="1" applyBorder="1" applyAlignment="1" applyProtection="1">
      <alignment horizontal="left" vertical="center"/>
      <protection locked="0"/>
    </xf>
    <xf numFmtId="0" fontId="16" fillId="55" borderId="90" xfId="0" applyFont="1" applyFill="1" applyBorder="1" applyAlignment="1" applyProtection="1">
      <alignment horizontal="center" vertical="center"/>
      <protection/>
    </xf>
    <xf numFmtId="0" fontId="26" fillId="55" borderId="90" xfId="0" applyFont="1" applyFill="1" applyBorder="1" applyAlignment="1" applyProtection="1">
      <alignment horizontal="center" vertical="center"/>
      <protection/>
    </xf>
    <xf numFmtId="171" fontId="0" fillId="51" borderId="25" xfId="0" applyNumberFormat="1" applyFont="1" applyFill="1" applyBorder="1" applyAlignment="1" applyProtection="1">
      <alignment horizontal="left"/>
      <protection locked="0"/>
    </xf>
    <xf numFmtId="171" fontId="0" fillId="51" borderId="26" xfId="0" applyNumberFormat="1" applyFont="1" applyFill="1" applyBorder="1" applyAlignment="1" applyProtection="1">
      <alignment horizontal="left"/>
      <protection locked="0"/>
    </xf>
    <xf numFmtId="171" fontId="0" fillId="51" borderId="46" xfId="0" applyNumberFormat="1" applyFont="1" applyFill="1" applyBorder="1" applyAlignment="1" applyProtection="1">
      <alignment horizontal="left"/>
      <protection locked="0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171" fontId="0" fillId="0" borderId="56" xfId="0" applyNumberFormat="1" applyFon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1" fontId="0" fillId="0" borderId="57" xfId="0" applyNumberFormat="1" applyFill="1" applyBorder="1" applyAlignment="1">
      <alignment horizontal="center" vertical="center"/>
    </xf>
    <xf numFmtId="171" fontId="0" fillId="0" borderId="55" xfId="0" applyNumberFormat="1" applyFill="1" applyBorder="1" applyAlignment="1">
      <alignment horizontal="center" vertical="center"/>
    </xf>
    <xf numFmtId="171" fontId="0" fillId="0" borderId="44" xfId="0" applyNumberFormat="1" applyFill="1" applyBorder="1" applyAlignment="1">
      <alignment horizontal="center" vertical="center"/>
    </xf>
    <xf numFmtId="171" fontId="0" fillId="0" borderId="58" xfId="0" applyNumberFormat="1" applyFill="1" applyBorder="1" applyAlignment="1">
      <alignment horizontal="center" vertical="center"/>
    </xf>
    <xf numFmtId="14" fontId="0" fillId="0" borderId="55" xfId="0" applyNumberFormat="1" applyBorder="1" applyAlignment="1">
      <alignment horizontal="center"/>
    </xf>
    <xf numFmtId="14" fontId="0" fillId="0" borderId="44" xfId="0" applyNumberFormat="1" applyBorder="1" applyAlignment="1">
      <alignment horizontal="center"/>
    </xf>
    <xf numFmtId="0" fontId="137" fillId="50" borderId="73" xfId="0" applyFont="1" applyFill="1" applyBorder="1" applyAlignment="1" applyProtection="1">
      <alignment horizontal="center" vertical="center"/>
      <protection hidden="1"/>
    </xf>
    <xf numFmtId="0" fontId="137" fillId="50" borderId="11" xfId="0" applyFont="1" applyFill="1" applyBorder="1" applyAlignment="1" applyProtection="1">
      <alignment horizontal="center" vertical="center"/>
      <protection hidden="1"/>
    </xf>
    <xf numFmtId="0" fontId="137" fillId="50" borderId="77" xfId="0" applyFont="1" applyFill="1" applyBorder="1" applyAlignment="1" applyProtection="1">
      <alignment horizontal="center" vertical="center"/>
      <protection hidden="1"/>
    </xf>
    <xf numFmtId="0" fontId="0" fillId="51" borderId="22" xfId="0" applyFont="1" applyFill="1" applyBorder="1" applyAlignment="1" applyProtection="1">
      <alignment horizontal="center" vertical="center"/>
      <protection locked="0"/>
    </xf>
    <xf numFmtId="0" fontId="0" fillId="51" borderId="26" xfId="0" applyFont="1" applyFill="1" applyBorder="1" applyAlignment="1" applyProtection="1">
      <alignment horizontal="center" vertical="center"/>
      <protection locked="0"/>
    </xf>
    <xf numFmtId="0" fontId="0" fillId="50" borderId="25" xfId="0" applyFont="1" applyFill="1" applyBorder="1" applyAlignment="1" applyProtection="1">
      <alignment horizontal="center" vertical="center"/>
      <protection locked="0"/>
    </xf>
    <xf numFmtId="0" fontId="0" fillId="50" borderId="26" xfId="0" applyFont="1" applyFill="1" applyBorder="1" applyAlignment="1" applyProtection="1">
      <alignment horizontal="center" vertical="center"/>
      <protection locked="0"/>
    </xf>
    <xf numFmtId="0" fontId="0" fillId="50" borderId="46" xfId="0" applyFont="1" applyFill="1" applyBorder="1" applyAlignment="1" applyProtection="1">
      <alignment horizontal="center" vertical="center"/>
      <protection locked="0"/>
    </xf>
    <xf numFmtId="0" fontId="0" fillId="51" borderId="91" xfId="0" applyFont="1" applyFill="1" applyBorder="1" applyAlignment="1" applyProtection="1">
      <alignment horizontal="center" vertical="center"/>
      <protection/>
    </xf>
    <xf numFmtId="0" fontId="0" fillId="51" borderId="38" xfId="0" applyFont="1" applyFill="1" applyBorder="1" applyAlignment="1" applyProtection="1">
      <alignment horizontal="center" vertical="center"/>
      <protection/>
    </xf>
    <xf numFmtId="0" fontId="0" fillId="51" borderId="22" xfId="0" applyFont="1" applyFill="1" applyBorder="1" applyAlignment="1" applyProtection="1">
      <alignment horizontal="center" vertical="center"/>
      <protection/>
    </xf>
    <xf numFmtId="0" fontId="0" fillId="51" borderId="26" xfId="0" applyFont="1" applyFill="1" applyBorder="1" applyAlignment="1" applyProtection="1">
      <alignment horizontal="center" vertical="center"/>
      <protection/>
    </xf>
    <xf numFmtId="0" fontId="0" fillId="50" borderId="73" xfId="0" applyFont="1" applyFill="1" applyBorder="1" applyAlignment="1" applyProtection="1">
      <alignment horizontal="center" vertical="center"/>
      <protection/>
    </xf>
    <xf numFmtId="0" fontId="0" fillId="50" borderId="11" xfId="0" applyFont="1" applyFill="1" applyBorder="1" applyAlignment="1" applyProtection="1">
      <alignment horizontal="center" vertical="center"/>
      <protection/>
    </xf>
    <xf numFmtId="0" fontId="0" fillId="50" borderId="77" xfId="0" applyFont="1" applyFill="1" applyBorder="1" applyAlignment="1" applyProtection="1">
      <alignment horizontal="center" vertical="center"/>
      <protection/>
    </xf>
    <xf numFmtId="0" fontId="0" fillId="50" borderId="87" xfId="0" applyFont="1" applyFill="1" applyBorder="1" applyAlignment="1" applyProtection="1">
      <alignment horizontal="center" vertical="center"/>
      <protection/>
    </xf>
    <xf numFmtId="0" fontId="0" fillId="50" borderId="40" xfId="0" applyFont="1" applyFill="1" applyBorder="1" applyAlignment="1" applyProtection="1">
      <alignment horizontal="center" vertical="center"/>
      <protection/>
    </xf>
    <xf numFmtId="0" fontId="0" fillId="50" borderId="78" xfId="0" applyFont="1" applyFill="1" applyBorder="1" applyAlignment="1" applyProtection="1">
      <alignment horizontal="center" vertical="center"/>
      <protection/>
    </xf>
    <xf numFmtId="0" fontId="0" fillId="55" borderId="0" xfId="0" applyFill="1" applyBorder="1" applyAlignment="1" applyProtection="1">
      <alignment horizontal="center"/>
      <protection/>
    </xf>
    <xf numFmtId="0" fontId="0" fillId="55" borderId="15" xfId="0" applyFill="1" applyBorder="1" applyAlignment="1" applyProtection="1">
      <alignment horizontal="center"/>
      <protection/>
    </xf>
    <xf numFmtId="0" fontId="13" fillId="55" borderId="15" xfId="0" applyFont="1" applyFill="1" applyBorder="1" applyAlignment="1" applyProtection="1">
      <alignment horizontal="center"/>
      <protection/>
    </xf>
    <xf numFmtId="0" fontId="15" fillId="55" borderId="44" xfId="0" applyFont="1" applyFill="1" applyBorder="1" applyAlignment="1" applyProtection="1">
      <alignment horizontal="center"/>
      <protection/>
    </xf>
    <xf numFmtId="0" fontId="15" fillId="55" borderId="0" xfId="0" applyFont="1" applyFill="1" applyBorder="1" applyAlignment="1" applyProtection="1">
      <alignment horizontal="center"/>
      <protection/>
    </xf>
    <xf numFmtId="0" fontId="0" fillId="51" borderId="73" xfId="0" applyFont="1" applyFill="1" applyBorder="1" applyAlignment="1" applyProtection="1">
      <alignment vertical="center"/>
      <protection locked="0"/>
    </xf>
    <xf numFmtId="0" fontId="0" fillId="51" borderId="11" xfId="0" applyFont="1" applyFill="1" applyBorder="1" applyAlignment="1" applyProtection="1">
      <alignment vertical="center"/>
      <protection locked="0"/>
    </xf>
    <xf numFmtId="0" fontId="0" fillId="51" borderId="77" xfId="0" applyFont="1" applyFill="1" applyBorder="1" applyAlignment="1" applyProtection="1">
      <alignment vertical="center"/>
      <protection locked="0"/>
    </xf>
    <xf numFmtId="0" fontId="13" fillId="51" borderId="25" xfId="0" applyFont="1" applyFill="1" applyBorder="1" applyAlignment="1" applyProtection="1">
      <alignment horizontal="left"/>
      <protection locked="0"/>
    </xf>
    <xf numFmtId="0" fontId="13" fillId="51" borderId="26" xfId="0" applyFont="1" applyFill="1" applyBorder="1" applyAlignment="1" applyProtection="1">
      <alignment horizontal="left"/>
      <protection locked="0"/>
    </xf>
    <xf numFmtId="0" fontId="13" fillId="51" borderId="46" xfId="0" applyFont="1" applyFill="1" applyBorder="1" applyAlignment="1" applyProtection="1">
      <alignment horizontal="left"/>
      <protection locked="0"/>
    </xf>
    <xf numFmtId="0" fontId="0" fillId="51" borderId="36" xfId="0" applyFont="1" applyFill="1" applyBorder="1" applyAlignment="1" applyProtection="1">
      <alignment horizontal="left"/>
      <protection locked="0"/>
    </xf>
    <xf numFmtId="0" fontId="0" fillId="51" borderId="45" xfId="0" applyFont="1" applyFill="1" applyBorder="1" applyAlignment="1" applyProtection="1">
      <alignment horizontal="left"/>
      <protection locked="0"/>
    </xf>
    <xf numFmtId="0" fontId="17" fillId="50" borderId="25" xfId="0" applyFont="1" applyFill="1" applyBorder="1" applyAlignment="1" applyProtection="1">
      <alignment horizontal="center" vertical="justify"/>
      <protection/>
    </xf>
    <xf numFmtId="0" fontId="17" fillId="50" borderId="26" xfId="0" applyFont="1" applyFill="1" applyBorder="1" applyAlignment="1" applyProtection="1">
      <alignment horizontal="center" vertical="justify"/>
      <protection/>
    </xf>
    <xf numFmtId="0" fontId="17" fillId="50" borderId="46" xfId="0" applyFont="1" applyFill="1" applyBorder="1" applyAlignment="1" applyProtection="1">
      <alignment horizontal="center" vertical="justify"/>
      <protection/>
    </xf>
    <xf numFmtId="0" fontId="17" fillId="50" borderId="37" xfId="0" applyFont="1" applyFill="1" applyBorder="1" applyAlignment="1" applyProtection="1">
      <alignment horizontal="center" vertical="justify"/>
      <protection/>
    </xf>
    <xf numFmtId="0" fontId="17" fillId="50" borderId="38" xfId="0" applyFont="1" applyFill="1" applyBorder="1" applyAlignment="1" applyProtection="1">
      <alignment horizontal="center" vertical="justify"/>
      <protection/>
    </xf>
    <xf numFmtId="0" fontId="17" fillId="50" borderId="50" xfId="0" applyFont="1" applyFill="1" applyBorder="1" applyAlignment="1" applyProtection="1">
      <alignment horizontal="center" vertical="justify"/>
      <protection/>
    </xf>
    <xf numFmtId="0" fontId="14" fillId="51" borderId="25" xfId="0" applyFont="1" applyFill="1" applyBorder="1" applyAlignment="1" applyProtection="1">
      <alignment horizontal="left" vertical="center" wrapText="1"/>
      <protection locked="0"/>
    </xf>
    <xf numFmtId="0" fontId="14" fillId="51" borderId="26" xfId="0" applyFont="1" applyFill="1" applyBorder="1" applyAlignment="1" applyProtection="1">
      <alignment horizontal="left" vertical="center" wrapText="1"/>
      <protection locked="0"/>
    </xf>
    <xf numFmtId="0" fontId="14" fillId="51" borderId="46" xfId="0" applyFont="1" applyFill="1" applyBorder="1" applyAlignment="1" applyProtection="1">
      <alignment horizontal="left" vertical="center" wrapText="1"/>
      <protection locked="0"/>
    </xf>
    <xf numFmtId="0" fontId="0" fillId="50" borderId="92" xfId="0" applyFont="1" applyFill="1" applyBorder="1" applyAlignment="1" applyProtection="1">
      <alignment horizontal="center" vertical="center"/>
      <protection hidden="1"/>
    </xf>
    <xf numFmtId="0" fontId="0" fillId="50" borderId="88" xfId="0" applyFill="1" applyBorder="1" applyAlignment="1" applyProtection="1">
      <alignment horizontal="center" vertical="center"/>
      <protection hidden="1"/>
    </xf>
    <xf numFmtId="0" fontId="13" fillId="51" borderId="25" xfId="0" applyNumberFormat="1" applyFont="1" applyFill="1" applyBorder="1" applyAlignment="1" applyProtection="1">
      <alignment horizontal="left"/>
      <protection locked="0"/>
    </xf>
    <xf numFmtId="0" fontId="13" fillId="51" borderId="26" xfId="0" applyNumberFormat="1" applyFont="1" applyFill="1" applyBorder="1" applyAlignment="1" applyProtection="1">
      <alignment horizontal="left"/>
      <protection locked="0"/>
    </xf>
    <xf numFmtId="0" fontId="13" fillId="51" borderId="46" xfId="0" applyNumberFormat="1" applyFont="1" applyFill="1" applyBorder="1" applyAlignment="1" applyProtection="1">
      <alignment horizontal="left"/>
      <protection locked="0"/>
    </xf>
    <xf numFmtId="0" fontId="0" fillId="50" borderId="23" xfId="0" applyFont="1" applyFill="1" applyBorder="1" applyAlignment="1">
      <alignment horizontal="left" vertical="center"/>
    </xf>
    <xf numFmtId="0" fontId="0" fillId="50" borderId="11" xfId="0" applyFont="1" applyFill="1" applyBorder="1" applyAlignment="1">
      <alignment horizontal="left" vertical="center"/>
    </xf>
    <xf numFmtId="0" fontId="18" fillId="51" borderId="93" xfId="0" applyFont="1" applyFill="1" applyBorder="1" applyAlignment="1" applyProtection="1">
      <alignment horizontal="center" vertical="center"/>
      <protection locked="0"/>
    </xf>
    <xf numFmtId="0" fontId="18" fillId="51" borderId="15" xfId="0" applyFont="1" applyFill="1" applyBorder="1" applyAlignment="1" applyProtection="1">
      <alignment horizontal="center" vertical="center"/>
      <protection locked="0"/>
    </xf>
    <xf numFmtId="0" fontId="18" fillId="51" borderId="21" xfId="0" applyFont="1" applyFill="1" applyBorder="1" applyAlignment="1" applyProtection="1">
      <alignment horizontal="center" vertical="center"/>
      <protection locked="0"/>
    </xf>
    <xf numFmtId="0" fontId="0" fillId="51" borderId="12" xfId="0" applyFont="1" applyFill="1" applyBorder="1" applyAlignment="1" applyProtection="1">
      <alignment horizontal="center" vertical="center"/>
      <protection locked="0"/>
    </xf>
    <xf numFmtId="0" fontId="0" fillId="51" borderId="15" xfId="0" applyFont="1" applyFill="1" applyBorder="1" applyAlignment="1" applyProtection="1">
      <alignment horizontal="center" vertical="center"/>
      <protection locked="0"/>
    </xf>
    <xf numFmtId="0" fontId="0" fillId="51" borderId="21" xfId="0" applyFont="1" applyFill="1" applyBorder="1" applyAlignment="1" applyProtection="1">
      <alignment horizontal="center" vertical="center"/>
      <protection locked="0"/>
    </xf>
    <xf numFmtId="0" fontId="133" fillId="50" borderId="41" xfId="0" applyFont="1" applyFill="1" applyBorder="1" applyAlignment="1" applyProtection="1">
      <alignment horizontal="left" vertical="center" wrapText="1"/>
      <protection hidden="1"/>
    </xf>
    <xf numFmtId="0" fontId="133" fillId="50" borderId="71" xfId="0" applyFont="1" applyFill="1" applyBorder="1" applyAlignment="1" applyProtection="1">
      <alignment horizontal="left" vertical="center" wrapText="1"/>
      <protection hidden="1"/>
    </xf>
    <xf numFmtId="0" fontId="0" fillId="50" borderId="43" xfId="0" applyFont="1" applyFill="1" applyBorder="1" applyAlignment="1">
      <alignment horizontal="left"/>
    </xf>
    <xf numFmtId="0" fontId="0" fillId="50" borderId="42" xfId="0" applyFont="1" applyFill="1" applyBorder="1" applyAlignment="1">
      <alignment horizontal="left"/>
    </xf>
    <xf numFmtId="0" fontId="131" fillId="50" borderId="25" xfId="0" applyFont="1" applyFill="1" applyBorder="1" applyAlignment="1" applyProtection="1">
      <alignment horizontal="left" vertical="center"/>
      <protection hidden="1"/>
    </xf>
    <xf numFmtId="0" fontId="131" fillId="50" borderId="26" xfId="0" applyFont="1" applyFill="1" applyBorder="1" applyAlignment="1" applyProtection="1">
      <alignment horizontal="left" vertical="center"/>
      <protection hidden="1"/>
    </xf>
    <xf numFmtId="0" fontId="131" fillId="50" borderId="23" xfId="0" applyFont="1" applyFill="1" applyBorder="1" applyAlignment="1" applyProtection="1">
      <alignment horizontal="left" vertical="center"/>
      <protection hidden="1"/>
    </xf>
    <xf numFmtId="0" fontId="0" fillId="51" borderId="25" xfId="0" applyFont="1" applyFill="1" applyBorder="1" applyAlignment="1" applyProtection="1">
      <alignment horizontal="left" vertical="center"/>
      <protection locked="0"/>
    </xf>
    <xf numFmtId="0" fontId="0" fillId="51" borderId="26" xfId="0" applyFont="1" applyFill="1" applyBorder="1" applyAlignment="1" applyProtection="1">
      <alignment horizontal="left" vertical="center"/>
      <protection locked="0"/>
    </xf>
    <xf numFmtId="0" fontId="0" fillId="51" borderId="46" xfId="0" applyFont="1" applyFill="1" applyBorder="1" applyAlignment="1" applyProtection="1">
      <alignment horizontal="left" vertical="center"/>
      <protection locked="0"/>
    </xf>
    <xf numFmtId="0" fontId="131" fillId="50" borderId="25" xfId="0" applyFont="1" applyFill="1" applyBorder="1" applyAlignment="1" applyProtection="1">
      <alignment horizontal="left" vertical="center" wrapText="1"/>
      <protection hidden="1"/>
    </xf>
    <xf numFmtId="0" fontId="131" fillId="50" borderId="26" xfId="0" applyFont="1" applyFill="1" applyBorder="1" applyAlignment="1" applyProtection="1">
      <alignment horizontal="left" vertical="center" wrapText="1"/>
      <protection hidden="1"/>
    </xf>
    <xf numFmtId="0" fontId="131" fillId="50" borderId="23" xfId="0" applyFont="1" applyFill="1" applyBorder="1" applyAlignment="1" applyProtection="1">
      <alignment horizontal="left" vertical="center" wrapText="1"/>
      <protection hidden="1"/>
    </xf>
    <xf numFmtId="0" fontId="135" fillId="50" borderId="30" xfId="0" applyFont="1" applyFill="1" applyBorder="1" applyAlignment="1" applyProtection="1">
      <alignment horizontal="left" vertical="center"/>
      <protection hidden="1"/>
    </xf>
    <xf numFmtId="0" fontId="135" fillId="50" borderId="14" xfId="0" applyFont="1" applyFill="1" applyBorder="1" applyAlignment="1" applyProtection="1">
      <alignment horizontal="left" vertical="center"/>
      <protection hidden="1"/>
    </xf>
    <xf numFmtId="0" fontId="135" fillId="50" borderId="80" xfId="0" applyFont="1" applyFill="1" applyBorder="1" applyAlignment="1" applyProtection="1">
      <alignment horizontal="left" vertical="center"/>
      <protection hidden="1"/>
    </xf>
    <xf numFmtId="0" fontId="135" fillId="50" borderId="56" xfId="0" applyFont="1" applyFill="1" applyBorder="1" applyAlignment="1" applyProtection="1">
      <alignment horizontal="left" vertical="center"/>
      <protection hidden="1"/>
    </xf>
    <xf numFmtId="0" fontId="135" fillId="50" borderId="0" xfId="0" applyFont="1" applyFill="1" applyBorder="1" applyAlignment="1" applyProtection="1">
      <alignment horizontal="left" vertical="center"/>
      <protection hidden="1"/>
    </xf>
    <xf numFmtId="0" fontId="135" fillId="50" borderId="57" xfId="0" applyFont="1" applyFill="1" applyBorder="1" applyAlignment="1" applyProtection="1">
      <alignment horizontal="left" vertical="center"/>
      <protection hidden="1"/>
    </xf>
    <xf numFmtId="0" fontId="135" fillId="50" borderId="79" xfId="0" applyFont="1" applyFill="1" applyBorder="1" applyAlignment="1" applyProtection="1">
      <alignment horizontal="left" vertical="center"/>
      <protection hidden="1"/>
    </xf>
    <xf numFmtId="0" fontId="135" fillId="50" borderId="13" xfId="0" applyFont="1" applyFill="1" applyBorder="1" applyAlignment="1" applyProtection="1">
      <alignment horizontal="left" vertical="center"/>
      <protection hidden="1"/>
    </xf>
    <xf numFmtId="0" fontId="135" fillId="50" borderId="89" xfId="0" applyFont="1" applyFill="1" applyBorder="1" applyAlignment="1" applyProtection="1">
      <alignment horizontal="left" vertical="center"/>
      <protection hidden="1"/>
    </xf>
    <xf numFmtId="0" fontId="135" fillId="50" borderId="37" xfId="0" applyFont="1" applyFill="1" applyBorder="1" applyAlignment="1" applyProtection="1">
      <alignment horizontal="left" vertical="center"/>
      <protection hidden="1"/>
    </xf>
    <xf numFmtId="0" fontId="135" fillId="50" borderId="38" xfId="0" applyFont="1" applyFill="1" applyBorder="1" applyAlignment="1" applyProtection="1">
      <alignment horizontal="left" vertical="center"/>
      <protection hidden="1"/>
    </xf>
    <xf numFmtId="0" fontId="135" fillId="50" borderId="50" xfId="0" applyFont="1" applyFill="1" applyBorder="1" applyAlignment="1" applyProtection="1">
      <alignment horizontal="left" vertical="center"/>
      <protection hidden="1"/>
    </xf>
    <xf numFmtId="0" fontId="14" fillId="51" borderId="37" xfId="0" applyFont="1" applyFill="1" applyBorder="1" applyAlignment="1" applyProtection="1">
      <alignment horizontal="left" vertical="center"/>
      <protection locked="0"/>
    </xf>
    <xf numFmtId="0" fontId="14" fillId="51" borderId="38" xfId="0" applyFont="1" applyFill="1" applyBorder="1" applyAlignment="1" applyProtection="1">
      <alignment horizontal="left" vertical="center"/>
      <protection locked="0"/>
    </xf>
    <xf numFmtId="0" fontId="14" fillId="51" borderId="50" xfId="0" applyFont="1" applyFill="1" applyBorder="1" applyAlignment="1" applyProtection="1">
      <alignment horizontal="left" vertical="center"/>
      <protection locked="0"/>
    </xf>
    <xf numFmtId="0" fontId="131" fillId="50" borderId="73" xfId="0" applyFont="1" applyFill="1" applyBorder="1" applyAlignment="1" applyProtection="1">
      <alignment horizontal="left" vertical="center"/>
      <protection hidden="1"/>
    </xf>
    <xf numFmtId="0" fontId="131" fillId="50" borderId="11" xfId="0" applyFont="1" applyFill="1" applyBorder="1" applyAlignment="1" applyProtection="1">
      <alignment horizontal="left" vertical="center"/>
      <protection hidden="1"/>
    </xf>
    <xf numFmtId="0" fontId="131" fillId="50" borderId="77" xfId="0" applyFont="1" applyFill="1" applyBorder="1" applyAlignment="1" applyProtection="1">
      <alignment horizontal="left" vertical="center"/>
      <protection hidden="1"/>
    </xf>
    <xf numFmtId="0" fontId="135" fillId="50" borderId="73" xfId="0" applyFont="1" applyFill="1" applyBorder="1" applyAlignment="1" applyProtection="1">
      <alignment horizontal="left" vertical="center"/>
      <protection hidden="1"/>
    </xf>
    <xf numFmtId="0" fontId="135" fillId="50" borderId="11" xfId="0" applyFont="1" applyFill="1" applyBorder="1" applyAlignment="1" applyProtection="1">
      <alignment horizontal="left" vertical="center"/>
      <protection hidden="1"/>
    </xf>
    <xf numFmtId="0" fontId="135" fillId="50" borderId="77" xfId="0" applyFont="1" applyFill="1" applyBorder="1" applyAlignment="1" applyProtection="1">
      <alignment horizontal="left" vertical="center"/>
      <protection hidden="1"/>
    </xf>
    <xf numFmtId="0" fontId="14" fillId="51" borderId="73" xfId="0" applyFont="1" applyFill="1" applyBorder="1" applyAlignment="1" applyProtection="1">
      <alignment horizontal="center" vertical="center" wrapText="1"/>
      <protection locked="0"/>
    </xf>
    <xf numFmtId="0" fontId="14" fillId="51" borderId="11" xfId="0" applyFont="1" applyFill="1" applyBorder="1" applyAlignment="1" applyProtection="1">
      <alignment horizontal="center" vertical="center" wrapText="1"/>
      <protection locked="0"/>
    </xf>
    <xf numFmtId="0" fontId="14" fillId="51" borderId="77" xfId="0" applyFont="1" applyFill="1" applyBorder="1" applyAlignment="1" applyProtection="1">
      <alignment horizontal="center" vertical="center" wrapText="1"/>
      <protection locked="0"/>
    </xf>
    <xf numFmtId="0" fontId="0" fillId="55" borderId="0" xfId="0" applyFill="1" applyBorder="1" applyAlignment="1">
      <alignment horizontal="center"/>
    </xf>
    <xf numFmtId="0" fontId="133" fillId="50" borderId="12" xfId="0" applyFont="1" applyFill="1" applyBorder="1" applyAlignment="1" applyProtection="1">
      <alignment horizontal="center" vertical="center" wrapText="1"/>
      <protection hidden="1"/>
    </xf>
    <xf numFmtId="0" fontId="133" fillId="50" borderId="15" xfId="0" applyFont="1" applyFill="1" applyBorder="1" applyAlignment="1" applyProtection="1">
      <alignment horizontal="center" vertical="center" wrapText="1"/>
      <protection hidden="1"/>
    </xf>
    <xf numFmtId="0" fontId="133" fillId="50" borderId="21" xfId="0" applyFont="1" applyFill="1" applyBorder="1" applyAlignment="1" applyProtection="1">
      <alignment horizontal="center" vertical="center" wrapText="1"/>
      <protection hidden="1"/>
    </xf>
    <xf numFmtId="0" fontId="15" fillId="0" borderId="87" xfId="0" applyFont="1" applyFill="1" applyBorder="1" applyAlignment="1" applyProtection="1">
      <alignment horizontal="center"/>
      <protection/>
    </xf>
    <xf numFmtId="0" fontId="15" fillId="0" borderId="78" xfId="0" applyFont="1" applyFill="1" applyBorder="1" applyAlignment="1" applyProtection="1">
      <alignment horizontal="center"/>
      <protection/>
    </xf>
    <xf numFmtId="0" fontId="15" fillId="0" borderId="73" xfId="0" applyFont="1" applyFill="1" applyBorder="1" applyAlignment="1" applyProtection="1">
      <alignment horizontal="center"/>
      <protection/>
    </xf>
    <xf numFmtId="0" fontId="15" fillId="0" borderId="77" xfId="0" applyFont="1" applyFill="1" applyBorder="1" applyAlignment="1" applyProtection="1">
      <alignment horizontal="center"/>
      <protection/>
    </xf>
    <xf numFmtId="0" fontId="0" fillId="0" borderId="73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34" fillId="50" borderId="12" xfId="0" applyFont="1" applyFill="1" applyBorder="1" applyAlignment="1" applyProtection="1">
      <alignment horizontal="left" vertical="center"/>
      <protection/>
    </xf>
    <xf numFmtId="0" fontId="34" fillId="50" borderId="15" xfId="0" applyFont="1" applyFill="1" applyBorder="1" applyAlignment="1" applyProtection="1">
      <alignment horizontal="left" vertical="center"/>
      <protection/>
    </xf>
    <xf numFmtId="0" fontId="34" fillId="50" borderId="94" xfId="0" applyFont="1" applyFill="1" applyBorder="1" applyAlignment="1" applyProtection="1">
      <alignment horizontal="left" vertical="center"/>
      <protection/>
    </xf>
    <xf numFmtId="10" fontId="48" fillId="50" borderId="71" xfId="0" applyNumberFormat="1" applyFont="1" applyFill="1" applyBorder="1" applyAlignment="1" applyProtection="1">
      <alignment horizontal="center" vertical="center"/>
      <protection/>
    </xf>
    <xf numFmtId="10" fontId="48" fillId="50" borderId="51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133" fillId="50" borderId="54" xfId="0" applyFont="1" applyFill="1" applyBorder="1" applyAlignment="1" applyProtection="1">
      <alignment horizontal="center" vertical="center" wrapText="1"/>
      <protection locked="0"/>
    </xf>
    <xf numFmtId="0" fontId="133" fillId="50" borderId="53" xfId="0" applyFont="1" applyFill="1" applyBorder="1" applyAlignment="1" applyProtection="1">
      <alignment horizontal="center" vertical="center" wrapText="1"/>
      <protection locked="0"/>
    </xf>
    <xf numFmtId="0" fontId="133" fillId="50" borderId="59" xfId="0" applyFont="1" applyFill="1" applyBorder="1" applyAlignment="1" applyProtection="1">
      <alignment horizontal="center" vertical="center" wrapText="1"/>
      <protection locked="0"/>
    </xf>
    <xf numFmtId="0" fontId="0" fillId="0" borderId="8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11" borderId="1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0" borderId="83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55" borderId="44" xfId="0" applyFill="1" applyBorder="1" applyAlignment="1" applyProtection="1">
      <alignment horizontal="center"/>
      <protection/>
    </xf>
    <xf numFmtId="0" fontId="34" fillId="50" borderId="53" xfId="0" applyFont="1" applyFill="1" applyBorder="1" applyAlignment="1" applyProtection="1">
      <alignment horizontal="center" vertical="center"/>
      <protection/>
    </xf>
    <xf numFmtId="0" fontId="34" fillId="50" borderId="59" xfId="0" applyFont="1" applyFill="1" applyBorder="1" applyAlignment="1" applyProtection="1">
      <alignment horizontal="center" vertical="center"/>
      <protection/>
    </xf>
    <xf numFmtId="0" fontId="0" fillId="50" borderId="55" xfId="0" applyFont="1" applyFill="1" applyBorder="1" applyAlignment="1" applyProtection="1">
      <alignment horizontal="center" vertical="center"/>
      <protection hidden="1"/>
    </xf>
    <xf numFmtId="0" fontId="0" fillId="50" borderId="44" xfId="0" applyFont="1" applyFill="1" applyBorder="1" applyAlignment="1" applyProtection="1">
      <alignment horizontal="center" vertical="center"/>
      <protection hidden="1"/>
    </xf>
    <xf numFmtId="0" fontId="59" fillId="51" borderId="97" xfId="0" applyFont="1" applyFill="1" applyBorder="1" applyAlignment="1" applyProtection="1">
      <alignment horizontal="center" vertical="center"/>
      <protection locked="0"/>
    </xf>
    <xf numFmtId="0" fontId="59" fillId="51" borderId="82" xfId="0" applyFont="1" applyFill="1" applyBorder="1" applyAlignment="1" applyProtection="1">
      <alignment horizontal="center" vertical="center"/>
      <protection locked="0"/>
    </xf>
    <xf numFmtId="0" fontId="59" fillId="51" borderId="97" xfId="0" applyFont="1" applyFill="1" applyBorder="1" applyAlignment="1">
      <alignment horizontal="right" vertical="center"/>
    </xf>
    <xf numFmtId="0" fontId="59" fillId="51" borderId="90" xfId="0" applyFont="1" applyFill="1" applyBorder="1" applyAlignment="1">
      <alignment horizontal="right" vertical="center"/>
    </xf>
    <xf numFmtId="0" fontId="59" fillId="51" borderId="82" xfId="0" applyFont="1" applyFill="1" applyBorder="1" applyAlignment="1">
      <alignment horizontal="right" vertical="center"/>
    </xf>
    <xf numFmtId="0" fontId="0" fillId="51" borderId="25" xfId="0" applyFont="1" applyFill="1" applyBorder="1" applyAlignment="1" applyProtection="1">
      <alignment horizontal="center" vertical="center"/>
      <protection/>
    </xf>
    <xf numFmtId="0" fontId="0" fillId="50" borderId="55" xfId="0" applyFont="1" applyFill="1" applyBorder="1" applyAlignment="1">
      <alignment horizontal="center" vertical="center"/>
    </xf>
    <xf numFmtId="0" fontId="0" fillId="50" borderId="44" xfId="0" applyFill="1" applyBorder="1" applyAlignment="1">
      <alignment/>
    </xf>
    <xf numFmtId="0" fontId="0" fillId="50" borderId="58" xfId="0" applyFill="1" applyBorder="1" applyAlignment="1">
      <alignment/>
    </xf>
    <xf numFmtId="0" fontId="5" fillId="58" borderId="0" xfId="0" applyFont="1" applyFill="1" applyAlignment="1">
      <alignment horizontal="center"/>
    </xf>
    <xf numFmtId="0" fontId="26" fillId="0" borderId="54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40" fillId="0" borderId="56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40" fillId="0" borderId="57" xfId="0" applyFont="1" applyFill="1" applyBorder="1" applyAlignment="1">
      <alignment horizontal="center" vertical="top"/>
    </xf>
    <xf numFmtId="0" fontId="40" fillId="0" borderId="55" xfId="0" applyFont="1" applyFill="1" applyBorder="1" applyAlignment="1">
      <alignment horizontal="center" vertical="top"/>
    </xf>
    <xf numFmtId="0" fontId="40" fillId="0" borderId="44" xfId="0" applyFont="1" applyFill="1" applyBorder="1" applyAlignment="1">
      <alignment horizontal="center" vertical="top"/>
    </xf>
    <xf numFmtId="0" fontId="40" fillId="0" borderId="58" xfId="0" applyFont="1" applyFill="1" applyBorder="1" applyAlignment="1">
      <alignment horizontal="center" vertical="top"/>
    </xf>
    <xf numFmtId="0" fontId="21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vertical="center"/>
      <protection/>
    </xf>
    <xf numFmtId="169" fontId="76" fillId="0" borderId="0" xfId="49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left" vertical="justify"/>
      <protection/>
    </xf>
    <xf numFmtId="0" fontId="6" fillId="0" borderId="0" xfId="0" applyFont="1" applyFill="1" applyAlignment="1">
      <alignment horizontal="left" vertical="justify"/>
    </xf>
    <xf numFmtId="0" fontId="7" fillId="0" borderId="0" xfId="0" applyFont="1" applyFill="1" applyAlignment="1" applyProtection="1">
      <alignment horizontal="center"/>
      <protection/>
    </xf>
    <xf numFmtId="171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69" fontId="7" fillId="0" borderId="0" xfId="49" applyNumberFormat="1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 vertical="justify"/>
    </xf>
    <xf numFmtId="0" fontId="18" fillId="0" borderId="56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left" vertical="center"/>
      <protection/>
    </xf>
    <xf numFmtId="0" fontId="40" fillId="0" borderId="0" xfId="0" applyFont="1" applyFill="1" applyAlignment="1">
      <alignment horizontal="center" vertical="center"/>
    </xf>
    <xf numFmtId="0" fontId="17" fillId="0" borderId="7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7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40" fillId="0" borderId="71" xfId="0" applyFont="1" applyFill="1" applyBorder="1" applyAlignment="1" applyProtection="1">
      <alignment horizontal="center"/>
      <protection/>
    </xf>
    <xf numFmtId="0" fontId="22" fillId="0" borderId="38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0" fillId="0" borderId="53" xfId="0" applyFont="1" applyFill="1" applyBorder="1" applyAlignment="1">
      <alignment horizontal="center" vertical="top"/>
    </xf>
    <xf numFmtId="0" fontId="21" fillId="0" borderId="54" xfId="0" applyFont="1" applyFill="1" applyBorder="1" applyAlignment="1" applyProtection="1">
      <alignment horizontal="left" vertical="top"/>
      <protection/>
    </xf>
    <xf numFmtId="0" fontId="21" fillId="0" borderId="53" xfId="0" applyFont="1" applyFill="1" applyBorder="1" applyAlignment="1" applyProtection="1">
      <alignment horizontal="left" vertical="top"/>
      <protection/>
    </xf>
    <xf numFmtId="0" fontId="21" fillId="0" borderId="59" xfId="0" applyFont="1" applyFill="1" applyBorder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>
      <alignment horizontal="left" vertical="justify"/>
    </xf>
    <xf numFmtId="0" fontId="6" fillId="0" borderId="0" xfId="0" applyFont="1" applyFill="1" applyAlignment="1">
      <alignment horizontal="right"/>
    </xf>
    <xf numFmtId="0" fontId="4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40" fillId="0" borderId="54" xfId="0" applyFont="1" applyFill="1" applyBorder="1" applyAlignment="1" applyProtection="1">
      <alignment horizontal="center" vertical="center" wrapText="1"/>
      <protection/>
    </xf>
    <xf numFmtId="0" fontId="40" fillId="0" borderId="53" xfId="0" applyFont="1" applyFill="1" applyBorder="1" applyAlignment="1" applyProtection="1">
      <alignment horizontal="center" vertical="center" wrapText="1"/>
      <protection/>
    </xf>
    <xf numFmtId="0" fontId="40" fillId="0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0" borderId="44" xfId="0" applyFont="1" applyFill="1" applyBorder="1" applyAlignment="1" applyProtection="1">
      <alignment horizontal="center" vertical="center" wrapText="1"/>
      <protection/>
    </xf>
    <xf numFmtId="0" fontId="40" fillId="0" borderId="58" xfId="0" applyFont="1" applyFill="1" applyBorder="1" applyAlignment="1" applyProtection="1">
      <alignment horizontal="center" vertical="center" wrapText="1"/>
      <protection/>
    </xf>
    <xf numFmtId="176" fontId="40" fillId="0" borderId="0" xfId="0" applyNumberFormat="1" applyFont="1" applyFill="1" applyAlignment="1" applyProtection="1">
      <alignment horizontal="center"/>
      <protection/>
    </xf>
    <xf numFmtId="176" fontId="22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 vertical="justify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0" fillId="0" borderId="41" xfId="0" applyFont="1" applyFill="1" applyBorder="1" applyAlignment="1" applyProtection="1">
      <alignment horizontal="center"/>
      <protection/>
    </xf>
    <xf numFmtId="0" fontId="18" fillId="0" borderId="37" xfId="0" applyFont="1" applyFill="1" applyBorder="1" applyAlignment="1" applyProtection="1">
      <alignment horizontal="center"/>
      <protection locked="0"/>
    </xf>
    <xf numFmtId="0" fontId="18" fillId="0" borderId="38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vertical="justify"/>
      <protection locked="0"/>
    </xf>
    <xf numFmtId="0" fontId="0" fillId="0" borderId="54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56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57" xfId="0" applyFont="1" applyBorder="1" applyAlignment="1">
      <alignment horizontal="justify" vertical="top"/>
    </xf>
    <xf numFmtId="0" fontId="0" fillId="0" borderId="55" xfId="0" applyFont="1" applyBorder="1" applyAlignment="1">
      <alignment horizontal="justify" vertical="top"/>
    </xf>
    <xf numFmtId="0" fontId="0" fillId="0" borderId="44" xfId="0" applyFont="1" applyBorder="1" applyAlignment="1">
      <alignment horizontal="justify" vertical="top"/>
    </xf>
    <xf numFmtId="0" fontId="0" fillId="0" borderId="58" xfId="0" applyFont="1" applyBorder="1" applyAlignment="1">
      <alignment horizontal="justify" vertical="top"/>
    </xf>
    <xf numFmtId="0" fontId="26" fillId="5" borderId="14" xfId="0" applyFont="1" applyFill="1" applyBorder="1" applyAlignment="1">
      <alignment horizontal="center"/>
    </xf>
    <xf numFmtId="0" fontId="26" fillId="5" borderId="80" xfId="0" applyFont="1" applyFill="1" applyBorder="1" applyAlignment="1">
      <alignment horizontal="center"/>
    </xf>
    <xf numFmtId="0" fontId="26" fillId="5" borderId="44" xfId="0" applyFont="1" applyFill="1" applyBorder="1" applyAlignment="1">
      <alignment horizontal="center"/>
    </xf>
    <xf numFmtId="0" fontId="26" fillId="5" borderId="58" xfId="0" applyFont="1" applyFill="1" applyBorder="1" applyAlignment="1">
      <alignment horizontal="center"/>
    </xf>
    <xf numFmtId="0" fontId="16" fillId="0" borderId="54" xfId="0" applyFont="1" applyBorder="1" applyAlignment="1">
      <alignment horizontal="left" vertical="top"/>
    </xf>
    <xf numFmtId="0" fontId="16" fillId="0" borderId="53" xfId="0" applyFont="1" applyBorder="1" applyAlignment="1">
      <alignment horizontal="left" vertical="top"/>
    </xf>
    <xf numFmtId="0" fontId="16" fillId="0" borderId="59" xfId="0" applyFont="1" applyBorder="1" applyAlignment="1">
      <alignment horizontal="left" vertical="top"/>
    </xf>
    <xf numFmtId="0" fontId="16" fillId="0" borderId="56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57" xfId="0" applyFont="1" applyBorder="1" applyAlignment="1">
      <alignment horizontal="left" vertical="top"/>
    </xf>
    <xf numFmtId="0" fontId="16" fillId="0" borderId="55" xfId="0" applyFont="1" applyBorder="1" applyAlignment="1">
      <alignment horizontal="left" vertical="top"/>
    </xf>
    <xf numFmtId="0" fontId="16" fillId="0" borderId="44" xfId="0" applyFont="1" applyBorder="1" applyAlignment="1">
      <alignment horizontal="left" vertical="top"/>
    </xf>
    <xf numFmtId="0" fontId="16" fillId="0" borderId="58" xfId="0" applyFont="1" applyBorder="1" applyAlignment="1">
      <alignment horizontal="left" vertical="top"/>
    </xf>
    <xf numFmtId="0" fontId="0" fillId="5" borderId="15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6" fillId="0" borderId="26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5" fillId="5" borderId="15" xfId="0" applyFont="1" applyFill="1" applyBorder="1" applyAlignment="1" applyProtection="1">
      <alignment horizontal="center"/>
      <protection/>
    </xf>
    <xf numFmtId="171" fontId="59" fillId="0" borderId="12" xfId="0" applyNumberFormat="1" applyFont="1" applyFill="1" applyBorder="1" applyAlignment="1" applyProtection="1">
      <alignment horizontal="center" vertical="center"/>
      <protection/>
    </xf>
    <xf numFmtId="171" fontId="59" fillId="0" borderId="21" xfId="0" applyNumberFormat="1" applyFont="1" applyFill="1" applyBorder="1" applyAlignment="1" applyProtection="1">
      <alignment horizontal="center" vertical="center"/>
      <protection/>
    </xf>
    <xf numFmtId="0" fontId="22" fillId="2" borderId="12" xfId="0" applyFont="1" applyFill="1" applyBorder="1" applyAlignment="1" applyProtection="1">
      <alignment horizontal="center" vertical="center"/>
      <protection/>
    </xf>
    <xf numFmtId="0" fontId="22" fillId="2" borderId="15" xfId="0" applyFont="1" applyFill="1" applyBorder="1" applyAlignment="1" applyProtection="1">
      <alignment horizontal="center" vertical="center"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171" fontId="47" fillId="0" borderId="36" xfId="0" applyNumberFormat="1" applyFont="1" applyBorder="1" applyAlignment="1" applyProtection="1">
      <alignment horizontal="center" vertical="center"/>
      <protection/>
    </xf>
    <xf numFmtId="171" fontId="47" fillId="0" borderId="45" xfId="0" applyNumberFormat="1" applyFont="1" applyBorder="1" applyAlignment="1" applyProtection="1">
      <alignment horizontal="center" vertical="center"/>
      <protection/>
    </xf>
    <xf numFmtId="171" fontId="47" fillId="0" borderId="26" xfId="0" applyNumberFormat="1" applyFont="1" applyBorder="1" applyAlignment="1" applyProtection="1">
      <alignment horizontal="center" vertical="center"/>
      <protection/>
    </xf>
    <xf numFmtId="171" fontId="47" fillId="0" borderId="46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54" borderId="26" xfId="0" applyFont="1" applyFill="1" applyBorder="1" applyAlignment="1" applyProtection="1">
      <alignment horizontal="left" vertical="center"/>
      <protection/>
    </xf>
    <xf numFmtId="0" fontId="14" fillId="0" borderId="5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98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169" fontId="13" fillId="0" borderId="57" xfId="49" applyNumberFormat="1" applyFont="1" applyBorder="1" applyAlignment="1" applyProtection="1">
      <alignment horizontal="center" vertical="center"/>
      <protection/>
    </xf>
    <xf numFmtId="171" fontId="47" fillId="0" borderId="26" xfId="0" applyNumberFormat="1" applyFont="1" applyBorder="1" applyAlignment="1" applyProtection="1">
      <alignment horizontal="center"/>
      <protection/>
    </xf>
    <xf numFmtId="171" fontId="47" fillId="0" borderId="46" xfId="0" applyNumberFormat="1" applyFont="1" applyBorder="1" applyAlignment="1" applyProtection="1">
      <alignment horizontal="center"/>
      <protection/>
    </xf>
    <xf numFmtId="171" fontId="18" fillId="0" borderId="23" xfId="0" applyNumberFormat="1" applyFont="1" applyFill="1" applyBorder="1" applyAlignment="1" applyProtection="1">
      <alignment horizontal="center" vertical="center"/>
      <protection/>
    </xf>
    <xf numFmtId="171" fontId="18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45" fillId="0" borderId="73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22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  <xf numFmtId="0" fontId="0" fillId="5" borderId="0" xfId="0" applyFill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0" fillId="5" borderId="0" xfId="0" applyFont="1" applyFill="1" applyBorder="1" applyAlignment="1" applyProtection="1">
      <alignment horizontal="center"/>
      <protection/>
    </xf>
    <xf numFmtId="0" fontId="40" fillId="5" borderId="44" xfId="0" applyFont="1" applyFill="1" applyBorder="1" applyAlignment="1" applyProtection="1">
      <alignment horizontal="center"/>
      <protection/>
    </xf>
    <xf numFmtId="0" fontId="6" fillId="5" borderId="44" xfId="0" applyFont="1" applyFill="1" applyBorder="1" applyAlignment="1" applyProtection="1">
      <alignment horizontal="center"/>
      <protection/>
    </xf>
    <xf numFmtId="0" fontId="138" fillId="50" borderId="12" xfId="0" applyFont="1" applyFill="1" applyBorder="1" applyAlignment="1">
      <alignment horizontal="center"/>
    </xf>
    <xf numFmtId="0" fontId="138" fillId="50" borderId="15" xfId="0" applyFont="1" applyFill="1" applyBorder="1" applyAlignment="1">
      <alignment horizontal="center"/>
    </xf>
    <xf numFmtId="0" fontId="138" fillId="50" borderId="21" xfId="0" applyFont="1" applyFill="1" applyBorder="1" applyAlignment="1">
      <alignment horizontal="center"/>
    </xf>
    <xf numFmtId="0" fontId="6" fillId="2" borderId="23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6" fillId="58" borderId="44" xfId="0" applyFont="1" applyFill="1" applyBorder="1" applyAlignment="1" applyProtection="1">
      <alignment horizontal="center"/>
      <protection/>
    </xf>
    <xf numFmtId="0" fontId="47" fillId="0" borderId="54" xfId="0" applyFont="1" applyBorder="1" applyAlignment="1" applyProtection="1">
      <alignment horizontal="center" vertical="center"/>
      <protection/>
    </xf>
    <xf numFmtId="0" fontId="47" fillId="0" borderId="53" xfId="0" applyFont="1" applyBorder="1" applyAlignment="1" applyProtection="1">
      <alignment horizontal="center" vertical="center"/>
      <protection/>
    </xf>
    <xf numFmtId="0" fontId="47" fillId="0" borderId="59" xfId="0" applyFont="1" applyBorder="1" applyAlignment="1" applyProtection="1">
      <alignment horizontal="center" vertical="center"/>
      <protection/>
    </xf>
    <xf numFmtId="0" fontId="47" fillId="0" borderId="55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0" fontId="47" fillId="0" borderId="58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171" fontId="16" fillId="57" borderId="12" xfId="0" applyNumberFormat="1" applyFont="1" applyFill="1" applyBorder="1" applyAlignment="1" applyProtection="1">
      <alignment horizontal="center" vertical="center"/>
      <protection/>
    </xf>
    <xf numFmtId="171" fontId="16" fillId="57" borderId="21" xfId="0" applyNumberFormat="1" applyFont="1" applyFill="1" applyBorder="1" applyAlignment="1" applyProtection="1">
      <alignment horizontal="center" vertical="center"/>
      <protection/>
    </xf>
    <xf numFmtId="0" fontId="0" fillId="58" borderId="0" xfId="0" applyFill="1" applyBorder="1" applyAlignment="1">
      <alignment horizontal="center"/>
    </xf>
    <xf numFmtId="171" fontId="22" fillId="0" borderId="26" xfId="0" applyNumberFormat="1" applyFont="1" applyBorder="1" applyAlignment="1" applyProtection="1">
      <alignment horizontal="center"/>
      <protection/>
    </xf>
    <xf numFmtId="171" fontId="22" fillId="0" borderId="46" xfId="0" applyNumberFormat="1" applyFont="1" applyBorder="1" applyAlignment="1" applyProtection="1">
      <alignment horizontal="center"/>
      <protection/>
    </xf>
    <xf numFmtId="0" fontId="5" fillId="0" borderId="56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171" fontId="12" fillId="0" borderId="55" xfId="0" applyNumberFormat="1" applyFont="1" applyFill="1" applyBorder="1" applyAlignment="1" applyProtection="1">
      <alignment horizontal="center"/>
      <protection/>
    </xf>
    <xf numFmtId="171" fontId="12" fillId="0" borderId="58" xfId="0" applyNumberFormat="1" applyFont="1" applyFill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46" xfId="0" applyFont="1" applyBorder="1" applyAlignment="1" applyProtection="1">
      <alignment horizontal="center"/>
      <protection/>
    </xf>
    <xf numFmtId="171" fontId="47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171" fontId="22" fillId="0" borderId="38" xfId="0" applyNumberFormat="1" applyFont="1" applyBorder="1" applyAlignment="1" applyProtection="1">
      <alignment horizontal="center"/>
      <protection/>
    </xf>
    <xf numFmtId="171" fontId="22" fillId="0" borderId="50" xfId="0" applyNumberFormat="1" applyFont="1" applyBorder="1" applyAlignment="1" applyProtection="1">
      <alignment horizontal="center"/>
      <protection/>
    </xf>
    <xf numFmtId="0" fontId="45" fillId="0" borderId="73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/>
    </xf>
    <xf numFmtId="0" fontId="45" fillId="0" borderId="22" xfId="0" applyFont="1" applyFill="1" applyBorder="1" applyAlignment="1" applyProtection="1">
      <alignment horizontal="center"/>
      <protection/>
    </xf>
    <xf numFmtId="0" fontId="45" fillId="0" borderId="87" xfId="0" applyFont="1" applyFill="1" applyBorder="1" applyAlignment="1" applyProtection="1">
      <alignment horizontal="center"/>
      <protection/>
    </xf>
    <xf numFmtId="0" fontId="45" fillId="0" borderId="40" xfId="0" applyFont="1" applyFill="1" applyBorder="1" applyAlignment="1" applyProtection="1">
      <alignment horizontal="center"/>
      <protection/>
    </xf>
    <xf numFmtId="0" fontId="45" fillId="0" borderId="91" xfId="0" applyFont="1" applyFill="1" applyBorder="1" applyAlignment="1" applyProtection="1">
      <alignment horizontal="center"/>
      <protection/>
    </xf>
    <xf numFmtId="171" fontId="47" fillId="0" borderId="36" xfId="0" applyNumberFormat="1" applyFont="1" applyBorder="1" applyAlignment="1" applyProtection="1">
      <alignment horizontal="center"/>
      <protection/>
    </xf>
    <xf numFmtId="171" fontId="47" fillId="0" borderId="45" xfId="0" applyNumberFormat="1" applyFont="1" applyBorder="1" applyAlignment="1" applyProtection="1">
      <alignment horizontal="center"/>
      <protection/>
    </xf>
    <xf numFmtId="176" fontId="22" fillId="54" borderId="71" xfId="0" applyNumberFormat="1" applyFont="1" applyFill="1" applyBorder="1" applyAlignment="1" applyProtection="1">
      <alignment horizontal="left" vertical="center"/>
      <protection/>
    </xf>
    <xf numFmtId="0" fontId="6" fillId="2" borderId="41" xfId="0" applyFont="1" applyFill="1" applyBorder="1" applyAlignment="1" applyProtection="1">
      <alignment horizontal="center" vertical="center"/>
      <protection/>
    </xf>
    <xf numFmtId="0" fontId="6" fillId="2" borderId="71" xfId="0" applyFont="1" applyFill="1" applyBorder="1" applyAlignment="1" applyProtection="1">
      <alignment horizontal="center" vertical="center"/>
      <protection/>
    </xf>
    <xf numFmtId="0" fontId="22" fillId="54" borderId="71" xfId="0" applyFont="1" applyFill="1" applyBorder="1" applyAlignment="1" applyProtection="1">
      <alignment horizontal="center" vertical="center"/>
      <protection/>
    </xf>
    <xf numFmtId="0" fontId="5" fillId="5" borderId="1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22" fillId="0" borderId="12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left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6" fillId="2" borderId="46" xfId="0" applyFont="1" applyFill="1" applyBorder="1" applyAlignment="1" applyProtection="1">
      <alignment horizontal="left" vertical="center"/>
      <protection/>
    </xf>
    <xf numFmtId="0" fontId="22" fillId="54" borderId="26" xfId="0" applyFont="1" applyFill="1" applyBorder="1" applyAlignment="1" applyProtection="1">
      <alignment horizontal="center" vertical="center"/>
      <protection/>
    </xf>
    <xf numFmtId="0" fontId="18" fillId="54" borderId="26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7" fillId="2" borderId="21" xfId="0" applyFont="1" applyFill="1" applyBorder="1" applyAlignment="1" applyProtection="1">
      <alignment horizontal="left" vertical="center"/>
      <protection/>
    </xf>
    <xf numFmtId="0" fontId="22" fillId="54" borderId="46" xfId="0" applyFont="1" applyFill="1" applyBorder="1" applyAlignment="1" applyProtection="1">
      <alignment horizontal="center" vertical="center"/>
      <protection/>
    </xf>
    <xf numFmtId="0" fontId="22" fillId="54" borderId="25" xfId="0" applyFont="1" applyFill="1" applyBorder="1" applyAlignment="1" applyProtection="1">
      <alignment horizontal="center" vertical="center"/>
      <protection/>
    </xf>
    <xf numFmtId="0" fontId="22" fillId="54" borderId="23" xfId="0" applyFont="1" applyFill="1" applyBorder="1" applyAlignment="1" applyProtection="1">
      <alignment horizontal="center" vertical="center"/>
      <protection/>
    </xf>
    <xf numFmtId="0" fontId="22" fillId="54" borderId="11" xfId="0" applyFont="1" applyFill="1" applyBorder="1" applyAlignment="1" applyProtection="1">
      <alignment horizontal="center" vertical="center"/>
      <protection/>
    </xf>
    <xf numFmtId="0" fontId="22" fillId="54" borderId="22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22" fillId="54" borderId="42" xfId="0" applyFont="1" applyFill="1" applyBorder="1" applyAlignment="1" applyProtection="1">
      <alignment horizontal="left" vertical="center"/>
      <protection/>
    </xf>
    <xf numFmtId="0" fontId="22" fillId="54" borderId="99" xfId="0" applyFont="1" applyFill="1" applyBorder="1" applyAlignment="1" applyProtection="1">
      <alignment horizontal="left" vertical="center"/>
      <protection/>
    </xf>
    <xf numFmtId="0" fontId="18" fillId="0" borderId="87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71" fontId="47" fillId="0" borderId="46" xfId="0" applyNumberFormat="1" applyFont="1" applyFill="1" applyBorder="1" applyAlignment="1" applyProtection="1">
      <alignment horizontal="center" vertical="center"/>
      <protection/>
    </xf>
    <xf numFmtId="171" fontId="12" fillId="0" borderId="12" xfId="0" applyNumberFormat="1" applyFont="1" applyFill="1" applyBorder="1" applyAlignment="1" applyProtection="1">
      <alignment horizontal="center" vertical="center"/>
      <protection/>
    </xf>
    <xf numFmtId="171" fontId="12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/>
      <protection locked="0"/>
    </xf>
    <xf numFmtId="171" fontId="12" fillId="53" borderId="12" xfId="0" applyNumberFormat="1" applyFont="1" applyFill="1" applyBorder="1" applyAlignment="1" applyProtection="1">
      <alignment horizontal="center" vertical="center"/>
      <protection/>
    </xf>
    <xf numFmtId="171" fontId="12" fillId="53" borderId="21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6" fillId="0" borderId="55" xfId="0" applyFont="1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left"/>
      <protection hidden="1"/>
    </xf>
    <xf numFmtId="0" fontId="22" fillId="0" borderId="15" xfId="0" applyFont="1" applyBorder="1" applyAlignment="1" applyProtection="1">
      <alignment horizontal="left"/>
      <protection hidden="1"/>
    </xf>
    <xf numFmtId="0" fontId="22" fillId="0" borderId="21" xfId="0" applyFont="1" applyBorder="1" applyAlignment="1" applyProtection="1">
      <alignment horizontal="left"/>
      <protection hidden="1"/>
    </xf>
    <xf numFmtId="0" fontId="22" fillId="0" borderId="21" xfId="0" applyFont="1" applyBorder="1" applyAlignment="1" applyProtection="1">
      <alignment horizontal="left"/>
      <protection/>
    </xf>
    <xf numFmtId="171" fontId="139" fillId="14" borderId="54" xfId="0" applyNumberFormat="1" applyFont="1" applyFill="1" applyBorder="1" applyAlignment="1" applyProtection="1">
      <alignment horizontal="center" vertical="center"/>
      <protection/>
    </xf>
    <xf numFmtId="171" fontId="139" fillId="14" borderId="59" xfId="0" applyNumberFormat="1" applyFont="1" applyFill="1" applyBorder="1" applyAlignment="1" applyProtection="1">
      <alignment horizontal="center" vertical="center"/>
      <protection/>
    </xf>
    <xf numFmtId="171" fontId="139" fillId="14" borderId="55" xfId="0" applyNumberFormat="1" applyFont="1" applyFill="1" applyBorder="1" applyAlignment="1" applyProtection="1">
      <alignment horizontal="center" vertical="center"/>
      <protection/>
    </xf>
    <xf numFmtId="171" fontId="139" fillId="14" borderId="58" xfId="0" applyNumberFormat="1" applyFont="1" applyFill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3" fontId="16" fillId="57" borderId="87" xfId="0" applyNumberFormat="1" applyFont="1" applyFill="1" applyBorder="1" applyAlignment="1" applyProtection="1">
      <alignment horizontal="center" vertical="center"/>
      <protection/>
    </xf>
    <xf numFmtId="3" fontId="16" fillId="57" borderId="7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8" fillId="0" borderId="12" xfId="0" applyFont="1" applyFill="1" applyBorder="1" applyAlignment="1" applyProtection="1">
      <alignment horizontal="right"/>
      <protection/>
    </xf>
    <xf numFmtId="0" fontId="18" fillId="0" borderId="15" xfId="0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right"/>
      <protection/>
    </xf>
    <xf numFmtId="0" fontId="0" fillId="36" borderId="57" xfId="0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2" fontId="0" fillId="0" borderId="20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47" fillId="0" borderId="0" xfId="0" applyFont="1" applyAlignment="1" applyProtection="1">
      <alignment horizontal="left" vertical="center"/>
      <protection hidden="1"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176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20" fillId="0" borderId="100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61" fillId="0" borderId="0" xfId="0" applyFont="1" applyAlignment="1">
      <alignment horizontal="center"/>
    </xf>
    <xf numFmtId="0" fontId="140" fillId="0" borderId="12" xfId="0" applyFont="1" applyBorder="1" applyAlignment="1">
      <alignment horizontal="center" vertical="center"/>
    </xf>
    <xf numFmtId="0" fontId="140" fillId="0" borderId="15" xfId="0" applyFont="1" applyBorder="1" applyAlignment="1">
      <alignment horizontal="center" vertical="center"/>
    </xf>
    <xf numFmtId="0" fontId="140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4" xfId="0" applyFont="1" applyBorder="1" applyAlignment="1">
      <alignment horizontal="right" vertical="center"/>
    </xf>
    <xf numFmtId="0" fontId="26" fillId="0" borderId="53" xfId="0" applyFont="1" applyBorder="1" applyAlignment="1">
      <alignment horizontal="right" vertical="center"/>
    </xf>
    <xf numFmtId="0" fontId="26" fillId="0" borderId="55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0" fontId="34" fillId="45" borderId="55" xfId="0" applyFont="1" applyFill="1" applyBorder="1" applyAlignment="1" applyProtection="1">
      <alignment horizontal="center"/>
      <protection/>
    </xf>
    <xf numFmtId="0" fontId="34" fillId="45" borderId="44" xfId="0" applyFont="1" applyFill="1" applyBorder="1" applyAlignment="1" applyProtection="1">
      <alignment horizontal="center"/>
      <protection/>
    </xf>
    <xf numFmtId="0" fontId="34" fillId="45" borderId="58" xfId="0" applyFont="1" applyFill="1" applyBorder="1" applyAlignment="1" applyProtection="1">
      <alignment horizontal="center"/>
      <protection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8" fillId="0" borderId="54" xfId="0" applyFont="1" applyFill="1" applyBorder="1" applyAlignment="1" applyProtection="1">
      <alignment horizontal="center" vertical="center"/>
      <protection locked="0"/>
    </xf>
    <xf numFmtId="0" fontId="48" fillId="0" borderId="53" xfId="0" applyFont="1" applyFill="1" applyBorder="1" applyAlignment="1" applyProtection="1">
      <alignment horizontal="center" vertical="center"/>
      <protection locked="0"/>
    </xf>
    <xf numFmtId="0" fontId="48" fillId="0" borderId="59" xfId="0" applyFont="1" applyFill="1" applyBorder="1" applyAlignment="1" applyProtection="1">
      <alignment horizontal="center" vertical="center"/>
      <protection locked="0"/>
    </xf>
    <xf numFmtId="0" fontId="48" fillId="0" borderId="56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57" xfId="0" applyFont="1" applyFill="1" applyBorder="1" applyAlignment="1" applyProtection="1">
      <alignment horizontal="center" vertical="center"/>
      <protection locked="0"/>
    </xf>
    <xf numFmtId="0" fontId="48" fillId="0" borderId="55" xfId="0" applyFont="1" applyFill="1" applyBorder="1" applyAlignment="1" applyProtection="1">
      <alignment horizontal="center" vertical="center"/>
      <protection locked="0"/>
    </xf>
    <xf numFmtId="0" fontId="48" fillId="0" borderId="44" xfId="0" applyFont="1" applyFill="1" applyBorder="1" applyAlignment="1" applyProtection="1">
      <alignment horizontal="center" vertical="center"/>
      <protection locked="0"/>
    </xf>
    <xf numFmtId="0" fontId="48" fillId="0" borderId="58" xfId="0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77" fillId="0" borderId="54" xfId="0" applyFont="1" applyBorder="1" applyAlignment="1">
      <alignment vertical="center"/>
    </xf>
    <xf numFmtId="0" fontId="77" fillId="0" borderId="59" xfId="0" applyFont="1" applyBorder="1" applyAlignment="1">
      <alignment vertical="center"/>
    </xf>
    <xf numFmtId="0" fontId="77" fillId="0" borderId="55" xfId="0" applyFont="1" applyBorder="1" applyAlignment="1">
      <alignment vertical="center"/>
    </xf>
    <xf numFmtId="0" fontId="77" fillId="0" borderId="58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9" fillId="34" borderId="12" xfId="0" applyFont="1" applyFill="1" applyBorder="1" applyAlignment="1" applyProtection="1">
      <alignment horizontal="center"/>
      <protection hidden="1"/>
    </xf>
    <xf numFmtId="0" fontId="19" fillId="34" borderId="21" xfId="0" applyFont="1" applyFill="1" applyBorder="1" applyAlignment="1" applyProtection="1">
      <alignment horizontal="center"/>
      <protection hidden="1"/>
    </xf>
    <xf numFmtId="0" fontId="55" fillId="0" borderId="44" xfId="0" applyFont="1" applyBorder="1" applyAlignment="1">
      <alignment horizontal="center" vertical="center"/>
    </xf>
    <xf numFmtId="175" fontId="0" fillId="0" borderId="14" xfId="0" applyNumberFormat="1" applyFont="1" applyBorder="1" applyAlignment="1">
      <alignment horizontal="center" vertical="center"/>
    </xf>
    <xf numFmtId="175" fontId="0" fillId="0" borderId="17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45" borderId="0" xfId="0" applyFill="1" applyAlignment="1" applyProtection="1">
      <alignment horizont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74" fontId="18" fillId="0" borderId="0" xfId="49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45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175" fontId="0" fillId="0" borderId="0" xfId="0" applyNumberFormat="1" applyFont="1" applyBorder="1" applyAlignment="1">
      <alignment horizontal="center" vertical="center"/>
    </xf>
    <xf numFmtId="175" fontId="0" fillId="0" borderId="16" xfId="0" applyNumberFormat="1" applyFont="1" applyBorder="1" applyAlignment="1">
      <alignment horizontal="center" vertical="center"/>
    </xf>
    <xf numFmtId="174" fontId="13" fillId="0" borderId="11" xfId="49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4" fillId="0" borderId="20" xfId="0" applyFont="1" applyBorder="1" applyAlignment="1" applyProtection="1">
      <alignment horizontal="justify" vertical="top" wrapText="1"/>
      <protection locked="0"/>
    </xf>
    <xf numFmtId="0" fontId="14" fillId="0" borderId="14" xfId="0" applyFont="1" applyBorder="1" applyAlignment="1" applyProtection="1">
      <alignment horizontal="justify" vertical="top" wrapText="1"/>
      <protection locked="0"/>
    </xf>
    <xf numFmtId="0" fontId="14" fillId="0" borderId="17" xfId="0" applyFont="1" applyBorder="1" applyAlignment="1" applyProtection="1">
      <alignment horizontal="justify" vertical="top" wrapText="1"/>
      <protection locked="0"/>
    </xf>
    <xf numFmtId="0" fontId="14" fillId="0" borderId="10" xfId="0" applyFont="1" applyBorder="1" applyAlignment="1" applyProtection="1">
      <alignment horizontal="justify" vertical="top" wrapText="1"/>
      <protection locked="0"/>
    </xf>
    <xf numFmtId="0" fontId="14" fillId="0" borderId="0" xfId="0" applyFont="1" applyBorder="1" applyAlignment="1" applyProtection="1">
      <alignment horizontal="justify" vertical="top" wrapText="1"/>
      <protection locked="0"/>
    </xf>
    <xf numFmtId="0" fontId="14" fillId="0" borderId="16" xfId="0" applyFont="1" applyBorder="1" applyAlignment="1" applyProtection="1">
      <alignment horizontal="justify" vertical="top" wrapText="1"/>
      <protection locked="0"/>
    </xf>
    <xf numFmtId="0" fontId="14" fillId="0" borderId="19" xfId="0" applyFont="1" applyBorder="1" applyAlignment="1" applyProtection="1">
      <alignment horizontal="justify" vertical="top" wrapText="1"/>
      <protection locked="0"/>
    </xf>
    <xf numFmtId="0" fontId="14" fillId="0" borderId="13" xfId="0" applyFont="1" applyBorder="1" applyAlignment="1" applyProtection="1">
      <alignment horizontal="justify" vertical="top" wrapText="1"/>
      <protection locked="0"/>
    </xf>
    <xf numFmtId="0" fontId="14" fillId="0" borderId="18" xfId="0" applyFont="1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5" fontId="0" fillId="0" borderId="11" xfId="0" applyNumberFormat="1" applyFont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66" fontId="9" fillId="0" borderId="23" xfId="0" applyNumberFormat="1" applyFont="1" applyBorder="1" applyAlignment="1" applyProtection="1">
      <alignment horizontal="center"/>
      <protection hidden="1"/>
    </xf>
    <xf numFmtId="166" fontId="9" fillId="0" borderId="11" xfId="0" applyNumberFormat="1" applyFont="1" applyBorder="1" applyAlignment="1" applyProtection="1">
      <alignment horizontal="center"/>
      <protection hidden="1"/>
    </xf>
    <xf numFmtId="166" fontId="9" fillId="0" borderId="22" xfId="0" applyNumberFormat="1" applyFont="1" applyBorder="1" applyAlignment="1" applyProtection="1">
      <alignment horizontal="center"/>
      <protection hidden="1"/>
    </xf>
    <xf numFmtId="0" fontId="55" fillId="0" borderId="11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174" fontId="58" fillId="0" borderId="54" xfId="49" applyNumberFormat="1" applyFont="1" applyBorder="1" applyAlignment="1" applyProtection="1">
      <alignment horizontal="center" vertical="center"/>
      <protection/>
    </xf>
    <xf numFmtId="174" fontId="58" fillId="0" borderId="53" xfId="49" applyNumberFormat="1" applyFont="1" applyBorder="1" applyAlignment="1" applyProtection="1">
      <alignment horizontal="center" vertical="center"/>
      <protection/>
    </xf>
    <xf numFmtId="174" fontId="58" fillId="0" borderId="59" xfId="49" applyNumberFormat="1" applyFont="1" applyBorder="1" applyAlignment="1" applyProtection="1">
      <alignment horizontal="center" vertical="center"/>
      <protection/>
    </xf>
    <xf numFmtId="174" fontId="58" fillId="0" borderId="55" xfId="49" applyNumberFormat="1" applyFont="1" applyBorder="1" applyAlignment="1" applyProtection="1">
      <alignment horizontal="center" vertical="center"/>
      <protection/>
    </xf>
    <xf numFmtId="174" fontId="58" fillId="0" borderId="44" xfId="49" applyNumberFormat="1" applyFont="1" applyBorder="1" applyAlignment="1" applyProtection="1">
      <alignment horizontal="center" vertical="center"/>
      <protection/>
    </xf>
    <xf numFmtId="174" fontId="58" fillId="0" borderId="58" xfId="49" applyNumberFormat="1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7" fillId="0" borderId="2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4" fontId="13" fillId="0" borderId="14" xfId="49" applyNumberFormat="1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 vertical="center"/>
    </xf>
    <xf numFmtId="175" fontId="26" fillId="0" borderId="15" xfId="0" applyNumberFormat="1" applyFont="1" applyBorder="1" applyAlignment="1">
      <alignment horizontal="center" vertical="center"/>
    </xf>
    <xf numFmtId="175" fontId="26" fillId="0" borderId="21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17" fillId="0" borderId="14" xfId="0" applyFont="1" applyBorder="1" applyAlignment="1" applyProtection="1">
      <alignment horizontal="left"/>
      <protection locked="0"/>
    </xf>
    <xf numFmtId="0" fontId="17" fillId="49" borderId="10" xfId="0" applyFont="1" applyFill="1" applyBorder="1" applyAlignment="1">
      <alignment horizontal="left"/>
    </xf>
    <xf numFmtId="0" fontId="17" fillId="49" borderId="0" xfId="0" applyFont="1" applyFill="1" applyBorder="1" applyAlignment="1">
      <alignment horizontal="left"/>
    </xf>
    <xf numFmtId="0" fontId="17" fillId="49" borderId="16" xfId="0" applyFont="1" applyFill="1" applyBorder="1" applyAlignment="1">
      <alignment horizontal="left"/>
    </xf>
    <xf numFmtId="0" fontId="17" fillId="49" borderId="10" xfId="0" applyFont="1" applyFill="1" applyBorder="1" applyAlignment="1">
      <alignment horizontal="center"/>
    </xf>
    <xf numFmtId="0" fontId="17" fillId="49" borderId="0" xfId="0" applyFont="1" applyFill="1" applyBorder="1" applyAlignment="1">
      <alignment horizontal="center"/>
    </xf>
    <xf numFmtId="0" fontId="17" fillId="49" borderId="16" xfId="0" applyFont="1" applyFill="1" applyBorder="1" applyAlignment="1">
      <alignment horizontal="center"/>
    </xf>
    <xf numFmtId="0" fontId="26" fillId="49" borderId="10" xfId="0" applyFont="1" applyFill="1" applyBorder="1" applyAlignment="1" applyProtection="1">
      <alignment horizontal="left"/>
      <protection locked="0"/>
    </xf>
    <xf numFmtId="0" fontId="26" fillId="49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49" borderId="70" xfId="0" applyFill="1" applyBorder="1" applyAlignment="1" applyProtection="1">
      <alignment/>
      <protection locked="0"/>
    </xf>
    <xf numFmtId="0" fontId="0" fillId="49" borderId="101" xfId="0" applyFill="1" applyBorder="1" applyAlignment="1" applyProtection="1">
      <alignment/>
      <protection locked="0"/>
    </xf>
    <xf numFmtId="0" fontId="0" fillId="49" borderId="101" xfId="0" applyFill="1" applyBorder="1" applyAlignment="1" applyProtection="1">
      <alignment horizontal="center"/>
      <protection locked="0"/>
    </xf>
    <xf numFmtId="0" fontId="0" fillId="49" borderId="102" xfId="0" applyFill="1" applyBorder="1" applyAlignment="1" applyProtection="1">
      <alignment/>
      <protection locked="0"/>
    </xf>
    <xf numFmtId="0" fontId="0" fillId="49" borderId="103" xfId="0" applyFill="1" applyBorder="1" applyAlignment="1" applyProtection="1">
      <alignment/>
      <protection locked="0"/>
    </xf>
    <xf numFmtId="0" fontId="0" fillId="49" borderId="104" xfId="0" applyFill="1" applyBorder="1" applyAlignment="1" applyProtection="1">
      <alignment/>
      <protection locked="0"/>
    </xf>
    <xf numFmtId="0" fontId="0" fillId="49" borderId="105" xfId="0" applyFill="1" applyBorder="1" applyAlignment="1" applyProtection="1">
      <alignment/>
      <protection locked="0"/>
    </xf>
    <xf numFmtId="0" fontId="0" fillId="49" borderId="106" xfId="0" applyFill="1" applyBorder="1" applyAlignment="1" applyProtection="1">
      <alignment horizontal="center"/>
      <protection locked="0"/>
    </xf>
    <xf numFmtId="0" fontId="66" fillId="49" borderId="0" xfId="0" applyFont="1" applyFill="1" applyBorder="1" applyAlignment="1">
      <alignment horizontal="center" vertical="center"/>
    </xf>
    <xf numFmtId="0" fontId="66" fillId="49" borderId="66" xfId="0" applyFont="1" applyFill="1" applyBorder="1" applyAlignment="1">
      <alignment horizontal="center" vertical="center"/>
    </xf>
    <xf numFmtId="0" fontId="0" fillId="49" borderId="102" xfId="0" applyFill="1" applyBorder="1" applyAlignment="1" applyProtection="1">
      <alignment horizontal="left"/>
      <protection locked="0"/>
    </xf>
    <xf numFmtId="0" fontId="0" fillId="49" borderId="101" xfId="0" applyFill="1" applyBorder="1" applyAlignment="1" applyProtection="1">
      <alignment horizontal="left"/>
      <protection locked="0"/>
    </xf>
    <xf numFmtId="0" fontId="0" fillId="49" borderId="103" xfId="0" applyFill="1" applyBorder="1" applyAlignment="1" applyProtection="1">
      <alignment horizontal="left"/>
      <protection locked="0"/>
    </xf>
    <xf numFmtId="0" fontId="0" fillId="0" borderId="0" xfId="52">
      <alignment/>
      <protection/>
    </xf>
    <xf numFmtId="0" fontId="26" fillId="0" borderId="0" xfId="52" applyFont="1">
      <alignment/>
      <protection/>
    </xf>
    <xf numFmtId="0" fontId="18" fillId="0" borderId="26" xfId="52" applyFont="1" applyBorder="1" applyAlignment="1">
      <alignment horizontal="center"/>
      <protection/>
    </xf>
    <xf numFmtId="0" fontId="26" fillId="0" borderId="0" xfId="52" applyFont="1" applyBorder="1">
      <alignment/>
      <protection/>
    </xf>
    <xf numFmtId="0" fontId="34" fillId="0" borderId="0" xfId="52" applyFont="1" applyAlignment="1">
      <alignment/>
      <protection/>
    </xf>
    <xf numFmtId="0" fontId="108" fillId="0" borderId="12" xfId="52" applyFont="1" applyBorder="1" applyAlignment="1">
      <alignment horizontal="center"/>
      <protection/>
    </xf>
    <xf numFmtId="0" fontId="108" fillId="0" borderId="15" xfId="52" applyFont="1" applyBorder="1" applyAlignment="1">
      <alignment horizontal="center"/>
      <protection/>
    </xf>
    <xf numFmtId="0" fontId="108" fillId="0" borderId="21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0" fontId="135" fillId="62" borderId="25" xfId="52" applyFont="1" applyFill="1" applyBorder="1" applyAlignment="1" applyProtection="1">
      <alignment horizontal="left" vertical="center"/>
      <protection hidden="1"/>
    </xf>
    <xf numFmtId="0" fontId="135" fillId="62" borderId="26" xfId="52" applyFont="1" applyFill="1" applyBorder="1" applyAlignment="1" applyProtection="1">
      <alignment horizontal="left" vertical="center"/>
      <protection hidden="1"/>
    </xf>
    <xf numFmtId="0" fontId="135" fillId="62" borderId="46" xfId="52" applyFont="1" applyFill="1" applyBorder="1" applyAlignment="1" applyProtection="1">
      <alignment horizontal="left" vertical="center"/>
      <protection hidden="1"/>
    </xf>
    <xf numFmtId="0" fontId="0" fillId="51" borderId="73" xfId="52" applyFont="1" applyFill="1" applyBorder="1" applyAlignment="1" applyProtection="1">
      <alignment horizontal="left"/>
      <protection locked="0"/>
    </xf>
    <xf numFmtId="0" fontId="129" fillId="62" borderId="54" xfId="52" applyFont="1" applyFill="1" applyBorder="1" applyAlignment="1" applyProtection="1">
      <alignment horizontal="center" vertical="justify" wrapText="1"/>
      <protection/>
    </xf>
    <xf numFmtId="0" fontId="129" fillId="62" borderId="53" xfId="52" applyFont="1" applyFill="1" applyBorder="1" applyAlignment="1" applyProtection="1">
      <alignment horizontal="center" vertical="justify" wrapText="1"/>
      <protection/>
    </xf>
    <xf numFmtId="0" fontId="129" fillId="62" borderId="59" xfId="52" applyFont="1" applyFill="1" applyBorder="1" applyAlignment="1" applyProtection="1">
      <alignment horizontal="center" vertical="justify" wrapText="1"/>
      <protection/>
    </xf>
    <xf numFmtId="0" fontId="129" fillId="62" borderId="56" xfId="52" applyFont="1" applyFill="1" applyBorder="1" applyAlignment="1" applyProtection="1">
      <alignment horizontal="center" vertical="justify" wrapText="1"/>
      <protection/>
    </xf>
    <xf numFmtId="0" fontId="129" fillId="62" borderId="0" xfId="52" applyFont="1" applyFill="1" applyBorder="1" applyAlignment="1" applyProtection="1">
      <alignment horizontal="center" vertical="justify" wrapText="1"/>
      <protection/>
    </xf>
    <xf numFmtId="0" fontId="129" fillId="62" borderId="57" xfId="52" applyFont="1" applyFill="1" applyBorder="1" applyAlignment="1" applyProtection="1">
      <alignment horizontal="center" vertical="justify" wrapText="1"/>
      <protection/>
    </xf>
    <xf numFmtId="0" fontId="129" fillId="62" borderId="79" xfId="52" applyFont="1" applyFill="1" applyBorder="1" applyAlignment="1" applyProtection="1">
      <alignment horizontal="center" vertical="justify" wrapText="1"/>
      <protection/>
    </xf>
    <xf numFmtId="0" fontId="129" fillId="62" borderId="13" xfId="52" applyFont="1" applyFill="1" applyBorder="1" applyAlignment="1" applyProtection="1">
      <alignment horizontal="center" vertical="justify" wrapText="1"/>
      <protection/>
    </xf>
    <xf numFmtId="0" fontId="129" fillId="62" borderId="89" xfId="52" applyFont="1" applyFill="1" applyBorder="1" applyAlignment="1" applyProtection="1">
      <alignment horizontal="center" vertical="justify" wrapText="1"/>
      <protection/>
    </xf>
    <xf numFmtId="0" fontId="17" fillId="62" borderId="25" xfId="52" applyFont="1" applyFill="1" applyBorder="1" applyAlignment="1" applyProtection="1">
      <alignment horizontal="center" vertical="justify"/>
      <protection/>
    </xf>
    <xf numFmtId="0" fontId="17" fillId="62" borderId="26" xfId="52" applyFont="1" applyFill="1" applyBorder="1" applyAlignment="1" applyProtection="1">
      <alignment horizontal="center" vertical="justify"/>
      <protection/>
    </xf>
    <xf numFmtId="0" fontId="17" fillId="62" borderId="46" xfId="52" applyFont="1" applyFill="1" applyBorder="1" applyAlignment="1" applyProtection="1">
      <alignment horizontal="center" vertical="justify"/>
      <protection/>
    </xf>
    <xf numFmtId="0" fontId="137" fillId="62" borderId="73" xfId="52" applyFont="1" applyFill="1" applyBorder="1" applyAlignment="1" applyProtection="1">
      <alignment horizontal="center" vertical="center"/>
      <protection hidden="1"/>
    </xf>
    <xf numFmtId="0" fontId="137" fillId="62" borderId="11" xfId="52" applyFont="1" applyFill="1" applyBorder="1" applyAlignment="1" applyProtection="1">
      <alignment horizontal="center" vertical="center"/>
      <protection hidden="1"/>
    </xf>
    <xf numFmtId="0" fontId="137" fillId="62" borderId="77" xfId="52" applyFont="1" applyFill="1" applyBorder="1" applyAlignment="1" applyProtection="1">
      <alignment horizontal="center" vertical="center"/>
      <protection hidden="1"/>
    </xf>
    <xf numFmtId="0" fontId="17" fillId="62" borderId="37" xfId="52" applyFont="1" applyFill="1" applyBorder="1" applyAlignment="1" applyProtection="1">
      <alignment horizontal="center" vertical="justify"/>
      <protection/>
    </xf>
    <xf numFmtId="0" fontId="17" fillId="62" borderId="38" xfId="52" applyFont="1" applyFill="1" applyBorder="1" applyAlignment="1" applyProtection="1">
      <alignment horizontal="center" vertical="justify"/>
      <protection/>
    </xf>
    <xf numFmtId="0" fontId="17" fillId="62" borderId="50" xfId="52" applyFont="1" applyFill="1" applyBorder="1" applyAlignment="1" applyProtection="1">
      <alignment horizontal="center" vertical="justify"/>
      <protection/>
    </xf>
    <xf numFmtId="0" fontId="44" fillId="0" borderId="0" xfId="52" applyFont="1" applyFill="1" applyBorder="1" applyAlignment="1" applyProtection="1">
      <alignment horizontal="center" vertical="center"/>
      <protection hidden="1"/>
    </xf>
    <xf numFmtId="0" fontId="16" fillId="0" borderId="20" xfId="52" applyFont="1" applyBorder="1" applyAlignment="1">
      <alignment horizontal="center"/>
      <protection/>
    </xf>
    <xf numFmtId="0" fontId="16" fillId="0" borderId="17" xfId="52" applyFont="1" applyBorder="1" applyAlignment="1">
      <alignment horizontal="center"/>
      <protection/>
    </xf>
    <xf numFmtId="0" fontId="81" fillId="0" borderId="12" xfId="52" applyFont="1" applyFill="1" applyBorder="1" applyAlignment="1" applyProtection="1">
      <alignment horizontal="center"/>
      <protection hidden="1"/>
    </xf>
    <xf numFmtId="0" fontId="81" fillId="0" borderId="15" xfId="52" applyFont="1" applyFill="1" applyBorder="1" applyAlignment="1" applyProtection="1">
      <alignment horizontal="center"/>
      <protection hidden="1"/>
    </xf>
    <xf numFmtId="0" fontId="81" fillId="0" borderId="21" xfId="52" applyFont="1" applyFill="1" applyBorder="1" applyAlignment="1" applyProtection="1">
      <alignment horizontal="center"/>
      <protection hidden="1"/>
    </xf>
    <xf numFmtId="0" fontId="2" fillId="0" borderId="0" xfId="52" applyFont="1">
      <alignment/>
      <protection/>
    </xf>
    <xf numFmtId="0" fontId="46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Protection="1">
      <alignment/>
      <protection/>
    </xf>
    <xf numFmtId="0" fontId="2" fillId="63" borderId="0" xfId="52" applyFont="1" applyFill="1" applyProtection="1">
      <alignment/>
      <protection locked="0"/>
    </xf>
    <xf numFmtId="0" fontId="135" fillId="62" borderId="25" xfId="52" applyFont="1" applyFill="1" applyBorder="1" applyAlignment="1" applyProtection="1">
      <alignment horizontal="center" vertical="center"/>
      <protection hidden="1"/>
    </xf>
    <xf numFmtId="0" fontId="135" fillId="62" borderId="26" xfId="52" applyFont="1" applyFill="1" applyBorder="1" applyAlignment="1" applyProtection="1">
      <alignment horizontal="center" vertical="center"/>
      <protection hidden="1"/>
    </xf>
    <xf numFmtId="0" fontId="135" fillId="62" borderId="46" xfId="52" applyFont="1" applyFill="1" applyBorder="1" applyAlignment="1" applyProtection="1">
      <alignment horizontal="center" vertical="center"/>
      <protection hidden="1"/>
    </xf>
    <xf numFmtId="0" fontId="0" fillId="51" borderId="25" xfId="52" applyFont="1" applyFill="1" applyBorder="1" applyAlignment="1" applyProtection="1">
      <alignment horizontal="left"/>
      <protection locked="0"/>
    </xf>
    <xf numFmtId="0" fontId="0" fillId="51" borderId="36" xfId="52" applyFont="1" applyFill="1" applyBorder="1" applyAlignment="1" applyProtection="1">
      <alignment horizontal="left"/>
      <protection locked="0"/>
    </xf>
    <xf numFmtId="0" fontId="0" fillId="51" borderId="45" xfId="52" applyFont="1" applyFill="1" applyBorder="1" applyAlignment="1" applyProtection="1">
      <alignment horizontal="left"/>
      <protection locked="0"/>
    </xf>
    <xf numFmtId="0" fontId="0" fillId="51" borderId="26" xfId="52" applyFont="1" applyFill="1" applyBorder="1" applyAlignment="1" applyProtection="1">
      <alignment horizontal="left"/>
      <protection locked="0"/>
    </xf>
    <xf numFmtId="0" fontId="0" fillId="51" borderId="46" xfId="52" applyFont="1" applyFill="1" applyBorder="1" applyAlignment="1" applyProtection="1">
      <alignment horizontal="left"/>
      <protection locked="0"/>
    </xf>
    <xf numFmtId="49" fontId="0" fillId="51" borderId="25" xfId="52" applyNumberFormat="1" applyFont="1" applyFill="1" applyBorder="1" applyAlignment="1" applyProtection="1">
      <alignment horizontal="left"/>
      <protection locked="0"/>
    </xf>
    <xf numFmtId="49" fontId="0" fillId="51" borderId="26" xfId="52" applyNumberFormat="1" applyFont="1" applyFill="1" applyBorder="1" applyAlignment="1" applyProtection="1">
      <alignment horizontal="left"/>
      <protection locked="0"/>
    </xf>
    <xf numFmtId="49" fontId="0" fillId="51" borderId="46" xfId="52" applyNumberFormat="1" applyFont="1" applyFill="1" applyBorder="1" applyAlignment="1" applyProtection="1">
      <alignment horizontal="left"/>
      <protection locked="0"/>
    </xf>
    <xf numFmtId="0" fontId="46" fillId="0" borderId="0" xfId="52" applyFont="1" applyFill="1" applyBorder="1" applyAlignment="1" applyProtection="1">
      <alignment horizontal="right"/>
      <protection hidden="1"/>
    </xf>
    <xf numFmtId="0" fontId="0" fillId="51" borderId="25" xfId="52" applyFont="1" applyFill="1" applyBorder="1" applyAlignment="1" applyProtection="1">
      <alignment horizontal="left" vertical="center"/>
      <protection locked="0"/>
    </xf>
    <xf numFmtId="0" fontId="0" fillId="51" borderId="26" xfId="52" applyFont="1" applyFill="1" applyBorder="1" applyAlignment="1" applyProtection="1">
      <alignment horizontal="left" vertical="center"/>
      <protection locked="0"/>
    </xf>
    <xf numFmtId="0" fontId="0" fillId="51" borderId="46" xfId="52" applyFont="1" applyFill="1" applyBorder="1" applyAlignment="1" applyProtection="1">
      <alignment horizontal="left" vertical="center"/>
      <protection locked="0"/>
    </xf>
    <xf numFmtId="0" fontId="0" fillId="0" borderId="0" xfId="52" applyAlignment="1">
      <alignment horizontal="left"/>
      <protection/>
    </xf>
    <xf numFmtId="0" fontId="81" fillId="0" borderId="0" xfId="52" applyFont="1" applyFill="1" applyBorder="1" applyAlignment="1" applyProtection="1">
      <alignment horizontal="center"/>
      <protection hidden="1"/>
    </xf>
    <xf numFmtId="14" fontId="13" fillId="51" borderId="25" xfId="52" applyNumberFormat="1" applyFont="1" applyFill="1" applyBorder="1" applyAlignment="1" applyProtection="1">
      <alignment horizontal="left"/>
      <protection locked="0"/>
    </xf>
    <xf numFmtId="14" fontId="13" fillId="51" borderId="26" xfId="52" applyNumberFormat="1" applyFont="1" applyFill="1" applyBorder="1" applyAlignment="1" applyProtection="1">
      <alignment horizontal="left"/>
      <protection locked="0"/>
    </xf>
    <xf numFmtId="14" fontId="13" fillId="51" borderId="46" xfId="52" applyNumberFormat="1" applyFont="1" applyFill="1" applyBorder="1" applyAlignment="1" applyProtection="1">
      <alignment horizontal="left"/>
      <protection locked="0"/>
    </xf>
    <xf numFmtId="0" fontId="13" fillId="51" borderId="25" xfId="52" applyNumberFormat="1" applyFont="1" applyFill="1" applyBorder="1" applyAlignment="1" applyProtection="1">
      <alignment horizontal="left"/>
      <protection locked="0"/>
    </xf>
    <xf numFmtId="0" fontId="13" fillId="51" borderId="26" xfId="52" applyNumberFormat="1" applyFont="1" applyFill="1" applyBorder="1" applyAlignment="1" applyProtection="1">
      <alignment horizontal="left"/>
      <protection locked="0"/>
    </xf>
    <xf numFmtId="0" fontId="13" fillId="51" borderId="46" xfId="52" applyNumberFormat="1" applyFont="1" applyFill="1" applyBorder="1" applyAlignment="1" applyProtection="1">
      <alignment horizontal="left"/>
      <protection locked="0"/>
    </xf>
    <xf numFmtId="171" fontId="0" fillId="51" borderId="25" xfId="52" applyNumberFormat="1" applyFont="1" applyFill="1" applyBorder="1" applyAlignment="1" applyProtection="1">
      <alignment horizontal="left"/>
      <protection locked="0"/>
    </xf>
    <xf numFmtId="171" fontId="0" fillId="51" borderId="26" xfId="52" applyNumberFormat="1" applyFont="1" applyFill="1" applyBorder="1" applyAlignment="1" applyProtection="1">
      <alignment horizontal="left"/>
      <protection locked="0"/>
    </xf>
    <xf numFmtId="171" fontId="0" fillId="51" borderId="46" xfId="52" applyNumberFormat="1" applyFont="1" applyFill="1" applyBorder="1" applyAlignment="1" applyProtection="1">
      <alignment horizontal="left"/>
      <protection locked="0"/>
    </xf>
    <xf numFmtId="0" fontId="13" fillId="51" borderId="73" xfId="52" applyFont="1" applyFill="1" applyBorder="1" applyAlignment="1" applyProtection="1">
      <alignment horizontal="center"/>
      <protection locked="0"/>
    </xf>
    <xf numFmtId="0" fontId="13" fillId="51" borderId="11" xfId="52" applyFont="1" applyFill="1" applyBorder="1" applyAlignment="1" applyProtection="1">
      <alignment horizontal="center"/>
      <protection locked="0"/>
    </xf>
    <xf numFmtId="0" fontId="13" fillId="51" borderId="77" xfId="52" applyFont="1" applyFill="1" applyBorder="1" applyAlignment="1" applyProtection="1">
      <alignment horizontal="center"/>
      <protection locked="0"/>
    </xf>
    <xf numFmtId="0" fontId="81" fillId="0" borderId="14" xfId="52" applyFont="1" applyFill="1" applyBorder="1" applyAlignment="1" applyProtection="1">
      <alignment horizontal="center"/>
      <protection hidden="1"/>
    </xf>
    <xf numFmtId="0" fontId="135" fillId="62" borderId="73" xfId="52" applyFont="1" applyFill="1" applyBorder="1" applyAlignment="1" applyProtection="1">
      <alignment horizontal="left" vertical="center"/>
      <protection hidden="1"/>
    </xf>
    <xf numFmtId="0" fontId="135" fillId="62" borderId="11" xfId="52" applyFont="1" applyFill="1" applyBorder="1" applyAlignment="1" applyProtection="1">
      <alignment horizontal="left" vertical="center"/>
      <protection hidden="1"/>
    </xf>
    <xf numFmtId="0" fontId="135" fillId="62" borderId="77" xfId="52" applyFont="1" applyFill="1" applyBorder="1" applyAlignment="1" applyProtection="1">
      <alignment horizontal="left" vertical="center"/>
      <protection hidden="1"/>
    </xf>
    <xf numFmtId="0" fontId="133" fillId="50" borderId="12" xfId="52" applyFont="1" applyFill="1" applyBorder="1" applyAlignment="1" applyProtection="1">
      <alignment horizontal="center" vertical="center" wrapText="1"/>
      <protection hidden="1"/>
    </xf>
    <xf numFmtId="0" fontId="133" fillId="50" borderId="15" xfId="52" applyFont="1" applyFill="1" applyBorder="1" applyAlignment="1" applyProtection="1">
      <alignment horizontal="center" vertical="center" wrapText="1"/>
      <protection hidden="1"/>
    </xf>
    <xf numFmtId="0" fontId="133" fillId="50" borderId="21" xfId="52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Protection="1">
      <alignment/>
      <protection/>
    </xf>
    <xf numFmtId="0" fontId="133" fillId="62" borderId="41" xfId="52" applyFont="1" applyFill="1" applyBorder="1" applyAlignment="1" applyProtection="1">
      <alignment horizontal="left" vertical="center" wrapText="1"/>
      <protection hidden="1"/>
    </xf>
    <xf numFmtId="0" fontId="133" fillId="62" borderId="71" xfId="52" applyFont="1" applyFill="1" applyBorder="1" applyAlignment="1" applyProtection="1">
      <alignment horizontal="left" vertical="center" wrapText="1"/>
      <protection hidden="1"/>
    </xf>
    <xf numFmtId="10" fontId="48" fillId="62" borderId="71" xfId="52" applyNumberFormat="1" applyFont="1" applyFill="1" applyBorder="1" applyAlignment="1" applyProtection="1">
      <alignment horizontal="center" vertical="center"/>
      <protection locked="0"/>
    </xf>
    <xf numFmtId="10" fontId="48" fillId="62" borderId="51" xfId="52" applyNumberFormat="1" applyFont="1" applyFill="1" applyBorder="1" applyAlignment="1" applyProtection="1">
      <alignment horizontal="center" vertical="center"/>
      <protection locked="0"/>
    </xf>
    <xf numFmtId="0" fontId="16" fillId="56" borderId="0" xfId="52" applyFont="1" applyFill="1">
      <alignment/>
      <protection/>
    </xf>
    <xf numFmtId="0" fontId="46" fillId="56" borderId="0" xfId="52" applyFont="1" applyFill="1" applyBorder="1" applyAlignment="1" applyProtection="1">
      <alignment horizontal="right"/>
      <protection hidden="1"/>
    </xf>
    <xf numFmtId="0" fontId="0" fillId="56" borderId="0" xfId="52" applyFill="1">
      <alignment/>
      <protection/>
    </xf>
    <xf numFmtId="0" fontId="2" fillId="56" borderId="0" xfId="52" applyFont="1" applyFill="1" applyProtection="1">
      <alignment/>
      <protection/>
    </xf>
    <xf numFmtId="0" fontId="12" fillId="56" borderId="0" xfId="52" applyFont="1" applyFill="1" applyProtection="1">
      <alignment/>
      <protection/>
    </xf>
    <xf numFmtId="0" fontId="18" fillId="56" borderId="0" xfId="52" applyFont="1" applyFill="1" applyProtection="1">
      <alignment/>
      <protection/>
    </xf>
    <xf numFmtId="0" fontId="80" fillId="56" borderId="0" xfId="52" applyFont="1" applyFill="1" applyBorder="1" applyAlignment="1" applyProtection="1">
      <alignment horizontal="center" vertical="center"/>
      <protection hidden="1"/>
    </xf>
    <xf numFmtId="0" fontId="34" fillId="50" borderId="12" xfId="52" applyFont="1" applyFill="1" applyBorder="1" applyAlignment="1" applyProtection="1">
      <alignment horizontal="left" vertical="center"/>
      <protection/>
    </xf>
    <xf numFmtId="0" fontId="34" fillId="50" borderId="15" xfId="52" applyFont="1" applyFill="1" applyBorder="1" applyAlignment="1" applyProtection="1">
      <alignment horizontal="left" vertical="center"/>
      <protection/>
    </xf>
    <xf numFmtId="0" fontId="34" fillId="50" borderId="94" xfId="52" applyFont="1" applyFill="1" applyBorder="1" applyAlignment="1" applyProtection="1">
      <alignment horizontal="left" vertical="center"/>
      <protection/>
    </xf>
    <xf numFmtId="0" fontId="18" fillId="51" borderId="93" xfId="52" applyFont="1" applyFill="1" applyBorder="1" applyAlignment="1" applyProtection="1">
      <alignment horizontal="center" vertical="center"/>
      <protection locked="0"/>
    </xf>
    <xf numFmtId="0" fontId="18" fillId="51" borderId="15" xfId="52" applyFont="1" applyFill="1" applyBorder="1" applyAlignment="1" applyProtection="1">
      <alignment horizontal="center" vertical="center"/>
      <protection locked="0"/>
    </xf>
    <xf numFmtId="0" fontId="18" fillId="51" borderId="21" xfId="52" applyFont="1" applyFill="1" applyBorder="1" applyAlignment="1" applyProtection="1">
      <alignment horizontal="center" vertical="center"/>
      <protection locked="0"/>
    </xf>
    <xf numFmtId="0" fontId="81" fillId="0" borderId="12" xfId="52" applyFont="1" applyFill="1" applyBorder="1" applyAlignment="1" applyProtection="1">
      <alignment horizontal="center" vertical="center"/>
      <protection hidden="1"/>
    </xf>
    <xf numFmtId="0" fontId="81" fillId="0" borderId="15" xfId="52" applyFont="1" applyFill="1" applyBorder="1" applyAlignment="1" applyProtection="1">
      <alignment horizontal="center" vertical="center"/>
      <protection hidden="1"/>
    </xf>
    <xf numFmtId="0" fontId="81" fillId="0" borderId="21" xfId="52" applyFont="1" applyFill="1" applyBorder="1" applyAlignment="1" applyProtection="1">
      <alignment horizontal="center" vertical="center"/>
      <protection hidden="1"/>
    </xf>
    <xf numFmtId="0" fontId="17" fillId="3" borderId="12" xfId="52" applyFont="1" applyFill="1" applyBorder="1" applyAlignment="1" applyProtection="1">
      <alignment horizontal="center" vertical="center"/>
      <protection/>
    </xf>
    <xf numFmtId="0" fontId="17" fillId="3" borderId="15" xfId="52" applyFont="1" applyFill="1" applyBorder="1" applyAlignment="1" applyProtection="1">
      <alignment horizontal="center" vertical="center"/>
      <protection/>
    </xf>
    <xf numFmtId="0" fontId="17" fillId="3" borderId="21" xfId="52" applyFont="1" applyFill="1" applyBorder="1" applyAlignment="1" applyProtection="1">
      <alignment horizontal="center" vertical="center"/>
      <protection/>
    </xf>
    <xf numFmtId="0" fontId="133" fillId="50" borderId="54" xfId="52" applyFont="1" applyFill="1" applyBorder="1" applyAlignment="1" applyProtection="1">
      <alignment horizontal="center" vertical="center" wrapText="1"/>
      <protection locked="0"/>
    </xf>
    <xf numFmtId="0" fontId="133" fillId="50" borderId="53" xfId="52" applyFont="1" applyFill="1" applyBorder="1" applyAlignment="1" applyProtection="1">
      <alignment horizontal="center" vertical="center" wrapText="1"/>
      <protection locked="0"/>
    </xf>
    <xf numFmtId="0" fontId="133" fillId="50" borderId="59" xfId="52" applyFont="1" applyFill="1" applyBorder="1" applyAlignment="1" applyProtection="1">
      <alignment horizontal="center" vertical="center" wrapText="1"/>
      <protection locked="0"/>
    </xf>
    <xf numFmtId="0" fontId="34" fillId="0" borderId="0" xfId="52" applyFont="1" applyAlignment="1">
      <alignment horizontal="center"/>
      <protection/>
    </xf>
    <xf numFmtId="0" fontId="59" fillId="50" borderId="61" xfId="52" applyFont="1" applyFill="1" applyBorder="1" applyAlignment="1">
      <alignment horizontal="center" vertical="center"/>
      <protection/>
    </xf>
    <xf numFmtId="0" fontId="34" fillId="50" borderId="15" xfId="52" applyFont="1" applyFill="1" applyBorder="1" applyAlignment="1" applyProtection="1">
      <alignment horizontal="center" vertical="center"/>
      <protection/>
    </xf>
    <xf numFmtId="0" fontId="34" fillId="50" borderId="53" xfId="52" applyFont="1" applyFill="1" applyBorder="1" applyAlignment="1" applyProtection="1">
      <alignment horizontal="center" vertical="center"/>
      <protection/>
    </xf>
    <xf numFmtId="0" fontId="34" fillId="50" borderId="59" xfId="52" applyFont="1" applyFill="1" applyBorder="1" applyAlignment="1" applyProtection="1">
      <alignment horizontal="center" vertical="center"/>
      <protection/>
    </xf>
    <xf numFmtId="0" fontId="0" fillId="62" borderId="36" xfId="52" applyFont="1" applyFill="1" applyBorder="1" applyAlignment="1">
      <alignment horizontal="center"/>
      <protection/>
    </xf>
    <xf numFmtId="0" fontId="0" fillId="62" borderId="43" xfId="52" applyFont="1" applyFill="1" applyBorder="1" applyAlignment="1">
      <alignment horizontal="left"/>
      <protection/>
    </xf>
    <xf numFmtId="0" fontId="0" fillId="62" borderId="42" xfId="52" applyFont="1" applyFill="1" applyBorder="1" applyAlignment="1">
      <alignment horizontal="left"/>
      <protection/>
    </xf>
    <xf numFmtId="0" fontId="0" fillId="51" borderId="43" xfId="52" applyFont="1" applyFill="1" applyBorder="1" applyAlignment="1" applyProtection="1">
      <alignment horizontal="center" vertical="center"/>
      <protection locked="0"/>
    </xf>
    <xf numFmtId="0" fontId="59" fillId="51" borderId="97" xfId="52" applyFont="1" applyFill="1" applyBorder="1" applyAlignment="1" applyProtection="1">
      <alignment horizontal="center" vertical="center"/>
      <protection locked="0"/>
    </xf>
    <xf numFmtId="0" fontId="0" fillId="62" borderId="26" xfId="52" applyFont="1" applyFill="1" applyBorder="1" applyAlignment="1">
      <alignment horizontal="center"/>
      <protection/>
    </xf>
    <xf numFmtId="0" fontId="0" fillId="62" borderId="23" xfId="52" applyFont="1" applyFill="1" applyBorder="1" applyAlignment="1">
      <alignment horizontal="left" vertical="center"/>
      <protection/>
    </xf>
    <xf numFmtId="0" fontId="0" fillId="62" borderId="11" xfId="52" applyFont="1" applyFill="1" applyBorder="1" applyAlignment="1">
      <alignment horizontal="left" vertical="center"/>
      <protection/>
    </xf>
    <xf numFmtId="0" fontId="59" fillId="51" borderId="82" xfId="52" applyFont="1" applyFill="1" applyBorder="1" applyAlignment="1" applyProtection="1">
      <alignment horizontal="center" vertical="center"/>
      <protection locked="0"/>
    </xf>
    <xf numFmtId="0" fontId="59" fillId="51" borderId="97" xfId="52" applyFont="1" applyFill="1" applyBorder="1" applyAlignment="1">
      <alignment horizontal="right" vertical="center"/>
      <protection/>
    </xf>
    <xf numFmtId="0" fontId="59" fillId="51" borderId="90" xfId="52" applyFont="1" applyFill="1" applyBorder="1" applyAlignment="1">
      <alignment horizontal="right" vertical="center"/>
      <protection/>
    </xf>
    <xf numFmtId="0" fontId="59" fillId="51" borderId="82" xfId="52" applyFont="1" applyFill="1" applyBorder="1" applyAlignment="1">
      <alignment horizontal="right" vertical="center"/>
      <protection/>
    </xf>
    <xf numFmtId="0" fontId="0" fillId="62" borderId="55" xfId="52" applyFont="1" applyFill="1" applyBorder="1" applyAlignment="1">
      <alignment horizontal="center" vertical="center"/>
      <protection/>
    </xf>
    <xf numFmtId="0" fontId="0" fillId="62" borderId="44" xfId="52" applyFont="1" applyFill="1" applyBorder="1" applyAlignment="1">
      <alignment horizontal="center" vertical="center"/>
      <protection/>
    </xf>
    <xf numFmtId="0" fontId="0" fillId="62" borderId="58" xfId="52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26" fillId="0" borderId="0" xfId="52" applyFont="1" applyBorder="1" applyAlignment="1" applyProtection="1">
      <alignment horizontal="center"/>
      <protection/>
    </xf>
    <xf numFmtId="0" fontId="17" fillId="0" borderId="0" xfId="52" applyFont="1" applyBorder="1" applyProtection="1">
      <alignment/>
      <protection/>
    </xf>
    <xf numFmtId="3" fontId="17" fillId="0" borderId="0" xfId="52" applyNumberFormat="1" applyFont="1" applyBorder="1" applyAlignment="1" applyProtection="1">
      <alignment horizontal="center" vertical="center" wrapText="1"/>
      <protection/>
    </xf>
    <xf numFmtId="0" fontId="132" fillId="50" borderId="12" xfId="52" applyFont="1" applyFill="1" applyBorder="1" applyAlignment="1" applyProtection="1">
      <alignment horizontal="center" vertical="center"/>
      <protection/>
    </xf>
    <xf numFmtId="0" fontId="132" fillId="50" borderId="15" xfId="52" applyFont="1" applyFill="1" applyBorder="1" applyAlignment="1" applyProtection="1">
      <alignment horizontal="center" vertical="center"/>
      <protection/>
    </xf>
    <xf numFmtId="0" fontId="132" fillId="50" borderId="21" xfId="52" applyFont="1" applyFill="1" applyBorder="1" applyAlignment="1" applyProtection="1">
      <alignment horizontal="center" vertical="center"/>
      <protection/>
    </xf>
    <xf numFmtId="0" fontId="0" fillId="62" borderId="25" xfId="52" applyFont="1" applyFill="1" applyBorder="1" applyAlignment="1" applyProtection="1">
      <alignment horizontal="center" vertical="center"/>
      <protection locked="0"/>
    </xf>
    <xf numFmtId="0" fontId="0" fillId="62" borderId="26" xfId="52" applyFont="1" applyFill="1" applyBorder="1" applyAlignment="1" applyProtection="1">
      <alignment horizontal="center" vertical="center"/>
      <protection locked="0"/>
    </xf>
    <xf numFmtId="0" fontId="0" fillId="62" borderId="46" xfId="52" applyFont="1" applyFill="1" applyBorder="1" applyAlignment="1" applyProtection="1">
      <alignment horizontal="center" vertical="center"/>
      <protection locked="0"/>
    </xf>
    <xf numFmtId="0" fontId="0" fillId="51" borderId="83" xfId="52" applyFont="1" applyFill="1" applyBorder="1" applyAlignment="1" applyProtection="1">
      <alignment horizontal="center" vertical="center"/>
      <protection locked="0"/>
    </xf>
    <xf numFmtId="0" fontId="0" fillId="51" borderId="99" xfId="52" applyFont="1" applyFill="1" applyBorder="1" applyAlignment="1" applyProtection="1">
      <alignment horizontal="center" vertical="center"/>
      <protection locked="0"/>
    </xf>
    <xf numFmtId="0" fontId="0" fillId="51" borderId="26" xfId="52" applyFont="1" applyFill="1" applyBorder="1" applyAlignment="1" applyProtection="1">
      <alignment horizontal="center" vertical="center"/>
      <protection hidden="1" locked="0"/>
    </xf>
    <xf numFmtId="177" fontId="13" fillId="50" borderId="23" xfId="52" applyNumberFormat="1" applyFont="1" applyFill="1" applyBorder="1" applyAlignment="1" applyProtection="1">
      <alignment horizontal="center"/>
      <protection/>
    </xf>
    <xf numFmtId="0" fontId="0" fillId="50" borderId="46" xfId="52" applyFill="1" applyBorder="1" applyAlignment="1" applyProtection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34" fillId="0" borderId="0" xfId="52" applyFont="1" applyBorder="1" applyAlignment="1">
      <alignment horizontal="center"/>
      <protection/>
    </xf>
    <xf numFmtId="3" fontId="18" fillId="0" borderId="0" xfId="52" applyNumberFormat="1" applyFont="1" applyBorder="1" applyProtection="1">
      <alignment/>
      <protection/>
    </xf>
    <xf numFmtId="0" fontId="0" fillId="0" borderId="0" xfId="52" applyFont="1" applyBorder="1">
      <alignment/>
      <protection/>
    </xf>
    <xf numFmtId="0" fontId="0" fillId="0" borderId="0" xfId="52" applyProtection="1">
      <alignment/>
      <protection/>
    </xf>
    <xf numFmtId="0" fontId="0" fillId="0" borderId="0" xfId="52" applyBorder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20</xdr:col>
      <xdr:colOff>76200</xdr:colOff>
      <xdr:row>3</xdr:row>
      <xdr:rowOff>38100</xdr:rowOff>
    </xdr:to>
    <xdr:pic>
      <xdr:nvPicPr>
        <xdr:cNvPr id="1" name="Picture 2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3305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57150</xdr:colOff>
      <xdr:row>57</xdr:row>
      <xdr:rowOff>76200</xdr:rowOff>
    </xdr:from>
    <xdr:to>
      <xdr:col>59</xdr:col>
      <xdr:colOff>85725</xdr:colOff>
      <xdr:row>63</xdr:row>
      <xdr:rowOff>142875</xdr:rowOff>
    </xdr:to>
    <xdr:sp>
      <xdr:nvSpPr>
        <xdr:cNvPr id="2" name="WordArt 2"/>
        <xdr:cNvSpPr>
          <a:spLocks/>
        </xdr:cNvSpPr>
      </xdr:nvSpPr>
      <xdr:spPr>
        <a:xfrm rot="19536716">
          <a:off x="6496050" y="15373350"/>
          <a:ext cx="36290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/>
            <a:t>C.T.P.B.A</a:t>
          </a:r>
          <a:r>
            <a:rPr lang="en-US" cap="none" sz="3600" b="0" i="0" u="none" baseline="0"/>
            <a:t>.
</a:t>
          </a:r>
          <a:r>
            <a:rPr lang="en-US" cap="none" sz="3600" b="0" i="0" u="none" baseline="0"/>
            <a:t>Distrito  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89</xdr:row>
      <xdr:rowOff>781050</xdr:rowOff>
    </xdr:from>
    <xdr:to>
      <xdr:col>12</xdr:col>
      <xdr:colOff>390525</xdr:colOff>
      <xdr:row>97</xdr:row>
      <xdr:rowOff>38100</xdr:rowOff>
    </xdr:to>
    <xdr:sp>
      <xdr:nvSpPr>
        <xdr:cNvPr id="1" name="WordArt 2"/>
        <xdr:cNvSpPr>
          <a:spLocks/>
        </xdr:cNvSpPr>
      </xdr:nvSpPr>
      <xdr:spPr>
        <a:xfrm rot="19853917">
          <a:off x="9163050" y="20583525"/>
          <a:ext cx="4591050" cy="1609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79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Baskerville Old Face"/>
              <a:cs typeface="Baskerville Old Face"/>
            </a:rPr>
            <a:t>C.T.P.B.A.Distrito   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904875</xdr:colOff>
      <xdr:row>5</xdr:row>
      <xdr:rowOff>152400</xdr:rowOff>
    </xdr:to>
    <xdr:pic>
      <xdr:nvPicPr>
        <xdr:cNvPr id="1" name="Picture 2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62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133350</xdr:colOff>
      <xdr:row>7</xdr:row>
      <xdr:rowOff>114300</xdr:rowOff>
    </xdr:to>
    <xdr:pic>
      <xdr:nvPicPr>
        <xdr:cNvPr id="1" name="Picture 2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32194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51</xdr:col>
      <xdr:colOff>104775</xdr:colOff>
      <xdr:row>7</xdr:row>
      <xdr:rowOff>76200</xdr:rowOff>
    </xdr:to>
    <xdr:pic>
      <xdr:nvPicPr>
        <xdr:cNvPr id="1" name="Imagen 2" descr="encabeza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029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19050</xdr:rowOff>
    </xdr:from>
    <xdr:to>
      <xdr:col>12</xdr:col>
      <xdr:colOff>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7800" y="361950"/>
          <a:ext cx="32385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IMPUESTO DE SELLOS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 DE BIENES Y PRESTACIONES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Declaracion Jurada
</a:t>
          </a:r>
        </a:p>
      </xdr:txBody>
    </xdr:sp>
    <xdr:clientData/>
  </xdr:twoCellAnchor>
  <xdr:twoCellAnchor>
    <xdr:from>
      <xdr:col>1</xdr:col>
      <xdr:colOff>95250</xdr:colOff>
      <xdr:row>1</xdr:row>
      <xdr:rowOff>133350</xdr:rowOff>
    </xdr:from>
    <xdr:to>
      <xdr:col>3</xdr:col>
      <xdr:colOff>123825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0480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38100</xdr:colOff>
      <xdr:row>1</xdr:row>
      <xdr:rowOff>0</xdr:rowOff>
    </xdr:from>
    <xdr:ext cx="190500" cy="257175"/>
    <xdr:sp>
      <xdr:nvSpPr>
        <xdr:cNvPr id="3" name="Text Box 3"/>
        <xdr:cNvSpPr txBox="1">
          <a:spLocks noChangeArrowheads="1"/>
        </xdr:cNvSpPr>
      </xdr:nvSpPr>
      <xdr:spPr>
        <a:xfrm>
          <a:off x="47244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485775</xdr:colOff>
      <xdr:row>1</xdr:row>
      <xdr:rowOff>123825</xdr:rowOff>
    </xdr:from>
    <xdr:to>
      <xdr:col>12</xdr:col>
      <xdr:colOff>723900</xdr:colOff>
      <xdr:row>3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72075" y="2952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38100</xdr:colOff>
      <xdr:row>1</xdr:row>
      <xdr:rowOff>0</xdr:rowOff>
    </xdr:from>
    <xdr:ext cx="190500" cy="257175"/>
    <xdr:sp>
      <xdr:nvSpPr>
        <xdr:cNvPr id="5" name="Text Box 5"/>
        <xdr:cNvSpPr txBox="1">
          <a:spLocks noChangeArrowheads="1"/>
        </xdr:cNvSpPr>
      </xdr:nvSpPr>
      <xdr:spPr>
        <a:xfrm>
          <a:off x="54483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466725</xdr:colOff>
      <xdr:row>1</xdr:row>
      <xdr:rowOff>123825</xdr:rowOff>
    </xdr:from>
    <xdr:to>
      <xdr:col>13</xdr:col>
      <xdr:colOff>466725</xdr:colOff>
      <xdr:row>3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876925" y="295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13</xdr:row>
      <xdr:rowOff>76200</xdr:rowOff>
    </xdr:from>
    <xdr:ext cx="190500" cy="257175"/>
    <xdr:sp>
      <xdr:nvSpPr>
        <xdr:cNvPr id="7" name="Text Box 9"/>
        <xdr:cNvSpPr txBox="1">
          <a:spLocks noChangeArrowheads="1"/>
        </xdr:cNvSpPr>
      </xdr:nvSpPr>
      <xdr:spPr>
        <a:xfrm>
          <a:off x="276225" y="2371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Carlos\Desktop\22000%20nuevos%20contratos\22000-OBRA-COLEGIO-01-04-2019-QQ-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 DE DATOS"/>
      <sheetName val="INSTRUCTIVO (2)"/>
      <sheetName val="INSTRUCTIVO"/>
      <sheetName val="CONTRATO PROF."/>
      <sheetName val="PLANILLA ANEXA"/>
      <sheetName val="PLANILLA DE CALCULOS "/>
      <sheetName val="ACTA ESTADO DE OBRA"/>
      <sheetName val="CATEGORIZACION DE VIV. UNIF."/>
      <sheetName val="Art.29"/>
      <sheetName val="ARBA R-115"/>
      <sheetName val="GASTOS"/>
    </sheetNames>
    <sheetDataSet>
      <sheetData sheetId="0">
        <row r="81">
          <cell r="K81" t="str">
            <v> A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uno.leandro147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DF453"/>
  <sheetViews>
    <sheetView tabSelected="1" zoomScale="85" zoomScaleNormal="85" zoomScalePageLayoutView="0" workbookViewId="0" topLeftCell="A1">
      <selection activeCell="G73" sqref="G73:K73"/>
    </sheetView>
  </sheetViews>
  <sheetFormatPr defaultColWidth="11.421875" defaultRowHeight="12.75"/>
  <cols>
    <col min="1" max="1" width="2.140625" style="0" customWidth="1"/>
    <col min="2" max="2" width="19.28125" style="0" customWidth="1"/>
    <col min="3" max="3" width="15.8515625" style="0" customWidth="1"/>
    <col min="4" max="4" width="11.00390625" style="0" customWidth="1"/>
    <col min="5" max="5" width="15.421875" style="0" customWidth="1"/>
    <col min="6" max="6" width="8.57421875" style="0" customWidth="1"/>
    <col min="7" max="7" width="10.28125" style="0" customWidth="1"/>
    <col min="8" max="8" width="6.421875" style="0" customWidth="1"/>
    <col min="9" max="9" width="17.8515625" style="0" customWidth="1"/>
    <col min="10" max="10" width="13.421875" style="183" bestFit="1" customWidth="1"/>
    <col min="11" max="11" width="8.8515625" style="0" customWidth="1"/>
    <col min="12" max="12" width="2.140625" style="0" customWidth="1"/>
    <col min="13" max="14" width="11.421875" style="0" customWidth="1"/>
    <col min="15" max="15" width="8.8515625" style="0" customWidth="1"/>
    <col min="16" max="16" width="11.421875" style="538" hidden="1" customWidth="1"/>
    <col min="17" max="17" width="9.421875" style="0" hidden="1" customWidth="1"/>
    <col min="18" max="18" width="11.8515625" style="0" hidden="1" customWidth="1"/>
    <col min="19" max="19" width="5.8515625" style="0" hidden="1" customWidth="1"/>
    <col min="20" max="20" width="11.421875" style="183" hidden="1" customWidth="1"/>
    <col min="21" max="21" width="34.00390625" style="0" hidden="1" customWidth="1"/>
    <col min="22" max="66" width="11.421875" style="0" hidden="1" customWidth="1"/>
    <col min="67" max="105" width="11.421875" style="0" customWidth="1"/>
  </cols>
  <sheetData>
    <row r="1" spans="1:12" ht="13.5" thickBot="1">
      <c r="A1" s="765"/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765"/>
    </row>
    <row r="2" spans="1:43" ht="30.75" thickBot="1">
      <c r="A2" s="765"/>
      <c r="B2" s="1045" t="s">
        <v>785</v>
      </c>
      <c r="C2" s="1046"/>
      <c r="D2" s="1046"/>
      <c r="E2" s="1046"/>
      <c r="F2" s="1046"/>
      <c r="G2" s="1046"/>
      <c r="H2" s="1046"/>
      <c r="I2" s="1046"/>
      <c r="J2" s="1046"/>
      <c r="K2" s="1047"/>
      <c r="L2" s="765"/>
      <c r="M2" s="3"/>
      <c r="N2" s="3"/>
      <c r="O2" s="3"/>
      <c r="Q2" s="384"/>
      <c r="R2" s="384"/>
      <c r="S2" s="384"/>
      <c r="T2" s="385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</row>
    <row r="3" spans="1:12" ht="9.75" customHeight="1" thickBot="1">
      <c r="A3" s="765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765"/>
    </row>
    <row r="4" spans="1:12" ht="13.5" thickBot="1">
      <c r="A4" s="765"/>
      <c r="B4" s="1042" t="s">
        <v>491</v>
      </c>
      <c r="C4" s="1043"/>
      <c r="D4" s="1043"/>
      <c r="E4" s="1043"/>
      <c r="F4" s="1044"/>
      <c r="G4" s="1048" t="s">
        <v>828</v>
      </c>
      <c r="H4" s="1049"/>
      <c r="I4" s="1049"/>
      <c r="J4" s="1049"/>
      <c r="K4" s="1050"/>
      <c r="L4" s="765"/>
    </row>
    <row r="5" spans="1:12" ht="13.5" thickBot="1">
      <c r="A5" s="765"/>
      <c r="B5" s="1017" t="s">
        <v>876</v>
      </c>
      <c r="C5" s="1018"/>
      <c r="D5" s="1018"/>
      <c r="E5" s="1018"/>
      <c r="F5" s="1019"/>
      <c r="G5" s="1048" t="s">
        <v>828</v>
      </c>
      <c r="H5" s="1049"/>
      <c r="I5" s="1049"/>
      <c r="J5" s="1049"/>
      <c r="K5" s="1050"/>
      <c r="L5" s="765"/>
    </row>
    <row r="6" spans="1:25" ht="13.5" thickBot="1">
      <c r="A6" s="765"/>
      <c r="B6" s="1017" t="s">
        <v>492</v>
      </c>
      <c r="C6" s="1018"/>
      <c r="D6" s="1018"/>
      <c r="E6" s="1018"/>
      <c r="F6" s="1019"/>
      <c r="G6" s="1048" t="s">
        <v>828</v>
      </c>
      <c r="H6" s="1049"/>
      <c r="I6" s="1049"/>
      <c r="J6" s="1049"/>
      <c r="K6" s="1050"/>
      <c r="L6" s="765"/>
      <c r="W6" s="1198" t="s">
        <v>363</v>
      </c>
      <c r="X6" s="1199"/>
      <c r="Y6" s="1200"/>
    </row>
    <row r="7" spans="1:25" ht="13.5" thickBot="1">
      <c r="A7" s="765"/>
      <c r="B7" s="1017" t="s">
        <v>493</v>
      </c>
      <c r="C7" s="1018"/>
      <c r="D7" s="1018"/>
      <c r="E7" s="1018"/>
      <c r="F7" s="1019"/>
      <c r="G7" s="1048" t="s">
        <v>828</v>
      </c>
      <c r="H7" s="1049"/>
      <c r="I7" s="1049"/>
      <c r="J7" s="1049"/>
      <c r="K7" s="1050"/>
      <c r="L7" s="765"/>
      <c r="W7" s="808"/>
      <c r="X7" s="530"/>
      <c r="Y7" s="809"/>
    </row>
    <row r="8" spans="1:25" ht="13.5" thickBot="1">
      <c r="A8" s="765"/>
      <c r="B8" s="1017" t="s">
        <v>342</v>
      </c>
      <c r="C8" s="1018"/>
      <c r="D8" s="1018"/>
      <c r="E8" s="1018"/>
      <c r="F8" s="1019"/>
      <c r="G8" s="1048" t="s">
        <v>828</v>
      </c>
      <c r="H8" s="1049"/>
      <c r="I8" s="1049"/>
      <c r="J8" s="1049"/>
      <c r="K8" s="1050"/>
      <c r="L8" s="765"/>
      <c r="W8" s="808" t="s">
        <v>73</v>
      </c>
      <c r="X8" s="530"/>
      <c r="Y8" s="809"/>
    </row>
    <row r="9" spans="1:25" ht="13.5" thickBot="1">
      <c r="A9" s="765"/>
      <c r="B9" s="1017" t="s">
        <v>343</v>
      </c>
      <c r="C9" s="1018"/>
      <c r="D9" s="1018"/>
      <c r="E9" s="1018"/>
      <c r="F9" s="1019"/>
      <c r="G9" s="1048" t="s">
        <v>828</v>
      </c>
      <c r="H9" s="1049"/>
      <c r="I9" s="1049"/>
      <c r="J9" s="1049"/>
      <c r="K9" s="1050"/>
      <c r="L9" s="765"/>
      <c r="W9" s="808" t="s">
        <v>618</v>
      </c>
      <c r="X9" s="530"/>
      <c r="Y9" s="809"/>
    </row>
    <row r="10" spans="1:25" ht="13.5" thickBot="1">
      <c r="A10" s="765"/>
      <c r="B10" s="1017" t="s">
        <v>49</v>
      </c>
      <c r="C10" s="1018"/>
      <c r="D10" s="1018"/>
      <c r="E10" s="1018"/>
      <c r="F10" s="1019"/>
      <c r="G10" s="1048" t="s">
        <v>828</v>
      </c>
      <c r="H10" s="1049"/>
      <c r="I10" s="1049"/>
      <c r="J10" s="1049"/>
      <c r="K10" s="1050"/>
      <c r="L10" s="765"/>
      <c r="W10" s="810" t="s">
        <v>619</v>
      </c>
      <c r="X10" s="811"/>
      <c r="Y10" s="812"/>
    </row>
    <row r="11" spans="1:12" ht="13.5" thickBot="1">
      <c r="A11" s="765"/>
      <c r="B11" s="1017" t="s">
        <v>670</v>
      </c>
      <c r="C11" s="1018"/>
      <c r="D11" s="1018"/>
      <c r="E11" s="1018"/>
      <c r="F11" s="1019"/>
      <c r="G11" s="1048" t="s">
        <v>828</v>
      </c>
      <c r="H11" s="1049"/>
      <c r="I11" s="1049"/>
      <c r="J11" s="1049"/>
      <c r="K11" s="1050"/>
      <c r="L11" s="765"/>
    </row>
    <row r="12" spans="1:12" ht="13.5" thickBot="1">
      <c r="A12" s="765"/>
      <c r="B12" s="1017" t="s">
        <v>328</v>
      </c>
      <c r="C12" s="1018"/>
      <c r="D12" s="1018"/>
      <c r="E12" s="1018"/>
      <c r="F12" s="1019"/>
      <c r="G12" s="1048" t="s">
        <v>828</v>
      </c>
      <c r="H12" s="1049"/>
      <c r="I12" s="1049"/>
      <c r="J12" s="1049"/>
      <c r="K12" s="1050"/>
      <c r="L12" s="765"/>
    </row>
    <row r="13" spans="1:12" ht="13.5" thickBot="1">
      <c r="A13" s="765"/>
      <c r="B13" s="1017" t="s">
        <v>671</v>
      </c>
      <c r="C13" s="1018"/>
      <c r="D13" s="1018"/>
      <c r="E13" s="1018"/>
      <c r="F13" s="1019"/>
      <c r="G13" s="1048" t="s">
        <v>828</v>
      </c>
      <c r="H13" s="1049"/>
      <c r="I13" s="1049"/>
      <c r="J13" s="1049"/>
      <c r="K13" s="1050"/>
      <c r="L13" s="765"/>
    </row>
    <row r="14" spans="1:12" ht="13.5" thickBot="1">
      <c r="A14" s="765"/>
      <c r="B14" s="1017" t="s">
        <v>496</v>
      </c>
      <c r="C14" s="1018"/>
      <c r="D14" s="1018"/>
      <c r="E14" s="1018"/>
      <c r="F14" s="1019"/>
      <c r="G14" s="1048" t="s">
        <v>828</v>
      </c>
      <c r="H14" s="1049"/>
      <c r="I14" s="1049"/>
      <c r="J14" s="1049"/>
      <c r="K14" s="1050"/>
      <c r="L14" s="765"/>
    </row>
    <row r="15" spans="1:12" ht="13.5" thickBot="1">
      <c r="A15" s="765"/>
      <c r="B15" s="1017" t="s">
        <v>50</v>
      </c>
      <c r="C15" s="1018"/>
      <c r="D15" s="1018"/>
      <c r="E15" s="1018"/>
      <c r="F15" s="1019"/>
      <c r="G15" s="1014" t="s">
        <v>828</v>
      </c>
      <c r="H15" s="1015"/>
      <c r="I15" s="1015"/>
      <c r="J15" s="1015"/>
      <c r="K15" s="1016"/>
      <c r="L15" s="765"/>
    </row>
    <row r="16" spans="1:12" ht="13.5" thickBot="1">
      <c r="A16" s="765"/>
      <c r="B16" s="1017" t="s">
        <v>51</v>
      </c>
      <c r="C16" s="1018"/>
      <c r="D16" s="1018"/>
      <c r="E16" s="1018"/>
      <c r="F16" s="1019"/>
      <c r="G16" s="1014" t="s">
        <v>828</v>
      </c>
      <c r="H16" s="1015"/>
      <c r="I16" s="1015"/>
      <c r="J16" s="1015"/>
      <c r="K16" s="1016"/>
      <c r="L16" s="765"/>
    </row>
    <row r="17" spans="1:12" ht="13.5" thickBot="1">
      <c r="A17" s="765"/>
      <c r="B17" s="1017" t="s">
        <v>493</v>
      </c>
      <c r="C17" s="1018"/>
      <c r="D17" s="1018"/>
      <c r="E17" s="1018"/>
      <c r="F17" s="1019"/>
      <c r="G17" s="1014" t="s">
        <v>828</v>
      </c>
      <c r="H17" s="1015"/>
      <c r="I17" s="1015"/>
      <c r="J17" s="1015"/>
      <c r="K17" s="1016"/>
      <c r="L17" s="765"/>
    </row>
    <row r="18" spans="1:12" ht="13.5" thickBot="1">
      <c r="A18" s="765"/>
      <c r="B18" s="1017" t="s">
        <v>52</v>
      </c>
      <c r="C18" s="1018"/>
      <c r="D18" s="1018"/>
      <c r="E18" s="1018"/>
      <c r="F18" s="1019"/>
      <c r="G18" s="1014" t="s">
        <v>828</v>
      </c>
      <c r="H18" s="1015"/>
      <c r="I18" s="1015"/>
      <c r="J18" s="1015"/>
      <c r="K18" s="1016"/>
      <c r="L18" s="765"/>
    </row>
    <row r="19" spans="1:12" ht="13.5" thickBot="1">
      <c r="A19" s="765"/>
      <c r="B19" s="1017" t="s">
        <v>494</v>
      </c>
      <c r="C19" s="1018"/>
      <c r="D19" s="1018"/>
      <c r="E19" s="1018"/>
      <c r="F19" s="1019"/>
      <c r="G19" s="1014" t="s">
        <v>828</v>
      </c>
      <c r="H19" s="1015"/>
      <c r="I19" s="1015"/>
      <c r="J19" s="1015"/>
      <c r="K19" s="1016"/>
      <c r="L19" s="765"/>
    </row>
    <row r="20" spans="1:12" ht="13.5" thickBot="1">
      <c r="A20" s="765"/>
      <c r="B20" s="1017" t="s">
        <v>513</v>
      </c>
      <c r="C20" s="1018"/>
      <c r="D20" s="1018"/>
      <c r="E20" s="1018"/>
      <c r="F20" s="1019"/>
      <c r="G20" s="1014" t="s">
        <v>828</v>
      </c>
      <c r="H20" s="1015"/>
      <c r="I20" s="1015"/>
      <c r="J20" s="1015"/>
      <c r="K20" s="1016"/>
      <c r="L20" s="765"/>
    </row>
    <row r="21" spans="1:12" ht="13.5" thickBot="1">
      <c r="A21" s="765"/>
      <c r="B21" s="1017" t="s">
        <v>672</v>
      </c>
      <c r="C21" s="1018"/>
      <c r="D21" s="1018"/>
      <c r="E21" s="1018"/>
      <c r="F21" s="1019"/>
      <c r="G21" s="1014" t="s">
        <v>828</v>
      </c>
      <c r="H21" s="1015"/>
      <c r="I21" s="1015"/>
      <c r="J21" s="1015"/>
      <c r="K21" s="1016"/>
      <c r="L21" s="765"/>
    </row>
    <row r="22" spans="1:12" ht="13.5" thickBot="1">
      <c r="A22" s="765"/>
      <c r="B22" s="1017" t="s">
        <v>495</v>
      </c>
      <c r="C22" s="1018"/>
      <c r="D22" s="1018"/>
      <c r="E22" s="1018"/>
      <c r="F22" s="1019"/>
      <c r="G22" s="1014" t="s">
        <v>828</v>
      </c>
      <c r="H22" s="1015"/>
      <c r="I22" s="1015"/>
      <c r="J22" s="1015"/>
      <c r="K22" s="1016"/>
      <c r="L22" s="765"/>
    </row>
    <row r="23" spans="1:20" ht="13.5" thickBot="1">
      <c r="A23" s="765"/>
      <c r="B23" s="1017" t="s">
        <v>693</v>
      </c>
      <c r="C23" s="1018"/>
      <c r="D23" s="1018"/>
      <c r="E23" s="1018"/>
      <c r="F23" s="1019"/>
      <c r="G23" s="1014" t="s">
        <v>828</v>
      </c>
      <c r="H23" s="1015"/>
      <c r="I23" s="1015"/>
      <c r="J23" s="1015"/>
      <c r="K23" s="1016"/>
      <c r="L23" s="765"/>
      <c r="R23" s="1013" t="e">
        <f>IF(#REF!=" "," ",#REF!)</f>
        <v>#REF!</v>
      </c>
      <c r="S23" s="1013"/>
      <c r="T23" s="1013"/>
    </row>
    <row r="24" spans="1:40" ht="13.5" thickBot="1">
      <c r="A24" s="765"/>
      <c r="B24" s="1017" t="s">
        <v>670</v>
      </c>
      <c r="C24" s="1018"/>
      <c r="D24" s="1018"/>
      <c r="E24" s="1018"/>
      <c r="F24" s="1019"/>
      <c r="G24" s="1014" t="s">
        <v>828</v>
      </c>
      <c r="H24" s="1015"/>
      <c r="I24" s="1015"/>
      <c r="J24" s="1015"/>
      <c r="K24" s="1016"/>
      <c r="L24" s="765"/>
      <c r="V24" s="1079" t="s">
        <v>315</v>
      </c>
      <c r="W24" s="1079"/>
      <c r="X24" s="1079"/>
      <c r="AE24" s="1078" t="s">
        <v>319</v>
      </c>
      <c r="AF24" s="1078"/>
      <c r="AG24" s="1078"/>
      <c r="AL24" s="1077" t="s">
        <v>344</v>
      </c>
      <c r="AM24" s="1077"/>
      <c r="AN24" s="1077"/>
    </row>
    <row r="25" spans="1:39" ht="13.5" thickBot="1">
      <c r="A25" s="765"/>
      <c r="B25" s="1017" t="s">
        <v>671</v>
      </c>
      <c r="C25" s="1018"/>
      <c r="D25" s="1018"/>
      <c r="E25" s="1018"/>
      <c r="F25" s="1019"/>
      <c r="G25" s="1014" t="s">
        <v>828</v>
      </c>
      <c r="H25" s="1015"/>
      <c r="I25" s="1015"/>
      <c r="J25" s="1015"/>
      <c r="K25" s="1016"/>
      <c r="L25" s="765"/>
      <c r="W25" t="s">
        <v>350</v>
      </c>
      <c r="AF25" t="s">
        <v>8</v>
      </c>
      <c r="AM25" t="s">
        <v>8</v>
      </c>
    </row>
    <row r="26" spans="1:39" ht="13.5" thickBot="1">
      <c r="A26" s="765"/>
      <c r="B26" s="1017" t="s">
        <v>328</v>
      </c>
      <c r="C26" s="1018"/>
      <c r="D26" s="1018"/>
      <c r="E26" s="1018"/>
      <c r="F26" s="1019"/>
      <c r="G26" s="1014" t="s">
        <v>828</v>
      </c>
      <c r="H26" s="1015"/>
      <c r="I26" s="1015"/>
      <c r="J26" s="1015"/>
      <c r="K26" s="1016"/>
      <c r="L26" s="765"/>
      <c r="V26" s="224">
        <v>1</v>
      </c>
      <c r="W26" s="224" t="s">
        <v>15</v>
      </c>
      <c r="X26" s="224"/>
      <c r="AF26" t="s">
        <v>352</v>
      </c>
      <c r="AM26" t="s">
        <v>345</v>
      </c>
    </row>
    <row r="27" spans="1:39" ht="12.75" customHeight="1" thickBot="1">
      <c r="A27" s="765"/>
      <c r="B27" s="1017" t="s">
        <v>496</v>
      </c>
      <c r="C27" s="1018"/>
      <c r="D27" s="1018"/>
      <c r="E27" s="1018"/>
      <c r="F27" s="1019"/>
      <c r="G27" s="1014" t="s">
        <v>828</v>
      </c>
      <c r="H27" s="1015"/>
      <c r="I27" s="1015"/>
      <c r="J27" s="1015"/>
      <c r="K27" s="1016"/>
      <c r="L27" s="765"/>
      <c r="M27" s="3"/>
      <c r="N27" s="3"/>
      <c r="O27" s="3"/>
      <c r="V27">
        <v>2</v>
      </c>
      <c r="W27" t="s">
        <v>321</v>
      </c>
      <c r="AF27" t="s">
        <v>353</v>
      </c>
      <c r="AM27" s="225" t="s">
        <v>626</v>
      </c>
    </row>
    <row r="28" spans="1:39" ht="13.5" customHeight="1">
      <c r="A28" s="765"/>
      <c r="B28" s="1017" t="s">
        <v>53</v>
      </c>
      <c r="C28" s="1018"/>
      <c r="D28" s="1018"/>
      <c r="E28" s="1018"/>
      <c r="F28" s="1019"/>
      <c r="G28" s="667" t="s">
        <v>828</v>
      </c>
      <c r="H28" s="1027" t="str">
        <f>IF(S46&lt;4,"VERIFIQUE LOS DATOS CATASTRALES ANTES DE CONTINUAR","  ")</f>
        <v>VERIFIQUE LOS DATOS CATASTRALES ANTES DE CONTINUAR</v>
      </c>
      <c r="I28" s="1028"/>
      <c r="J28" s="1028"/>
      <c r="K28" s="1029"/>
      <c r="L28" s="765"/>
      <c r="M28" s="582"/>
      <c r="N28" s="578"/>
      <c r="O28" s="578"/>
      <c r="V28" s="224">
        <v>3</v>
      </c>
      <c r="W28" s="224" t="s">
        <v>316</v>
      </c>
      <c r="AF28" t="s">
        <v>122</v>
      </c>
      <c r="AM28" t="s">
        <v>594</v>
      </c>
    </row>
    <row r="29" spans="1:39" ht="13.5" customHeight="1">
      <c r="A29" s="765"/>
      <c r="B29" s="1017" t="s">
        <v>54</v>
      </c>
      <c r="C29" s="1018"/>
      <c r="D29" s="1018"/>
      <c r="E29" s="1018"/>
      <c r="F29" s="1019"/>
      <c r="G29" s="667" t="s">
        <v>828</v>
      </c>
      <c r="H29" s="1030"/>
      <c r="I29" s="1031"/>
      <c r="J29" s="1031"/>
      <c r="K29" s="1032"/>
      <c r="L29" s="765"/>
      <c r="V29">
        <v>4</v>
      </c>
      <c r="W29" s="373" t="s">
        <v>691</v>
      </c>
      <c r="AF29" t="s">
        <v>137</v>
      </c>
      <c r="AM29" t="s">
        <v>595</v>
      </c>
    </row>
    <row r="30" spans="1:39" ht="13.5" customHeight="1">
      <c r="A30" s="765"/>
      <c r="B30" s="1017" t="s">
        <v>55</v>
      </c>
      <c r="C30" s="1018"/>
      <c r="D30" s="1018"/>
      <c r="E30" s="1018"/>
      <c r="F30" s="1019"/>
      <c r="G30" s="667" t="s">
        <v>828</v>
      </c>
      <c r="H30" s="1030"/>
      <c r="I30" s="1031"/>
      <c r="J30" s="1031"/>
      <c r="K30" s="1032"/>
      <c r="L30" s="765"/>
      <c r="V30" s="224">
        <v>5</v>
      </c>
      <c r="W30" s="224" t="s">
        <v>318</v>
      </c>
      <c r="AF30" t="s">
        <v>351</v>
      </c>
      <c r="AH30" s="3"/>
      <c r="AI30" s="3"/>
      <c r="AJ30" s="3"/>
      <c r="AK30" s="3"/>
      <c r="AM30" t="s">
        <v>346</v>
      </c>
    </row>
    <row r="31" spans="1:39" ht="13.5" customHeight="1">
      <c r="A31" s="765"/>
      <c r="B31" s="1017" t="s">
        <v>56</v>
      </c>
      <c r="C31" s="1018"/>
      <c r="D31" s="1018"/>
      <c r="E31" s="1018"/>
      <c r="F31" s="1019"/>
      <c r="G31" s="667" t="s">
        <v>828</v>
      </c>
      <c r="H31" s="1033"/>
      <c r="I31" s="1034"/>
      <c r="J31" s="1034"/>
      <c r="K31" s="1035"/>
      <c r="L31" s="765"/>
      <c r="V31">
        <v>6</v>
      </c>
      <c r="W31" s="224" t="s">
        <v>17</v>
      </c>
      <c r="AF31" t="s">
        <v>161</v>
      </c>
      <c r="AM31" t="s">
        <v>605</v>
      </c>
    </row>
    <row r="32" spans="1:39" ht="13.5" customHeight="1">
      <c r="A32" s="765"/>
      <c r="B32" s="1017" t="s">
        <v>387</v>
      </c>
      <c r="C32" s="1018"/>
      <c r="D32" s="1018"/>
      <c r="E32" s="1018"/>
      <c r="F32" s="1019"/>
      <c r="G32" s="667" t="s">
        <v>828</v>
      </c>
      <c r="H32" s="1119" t="s">
        <v>786</v>
      </c>
      <c r="I32" s="1120"/>
      <c r="J32" s="1120"/>
      <c r="K32" s="1121"/>
      <c r="L32" s="765"/>
      <c r="V32" s="224">
        <v>7</v>
      </c>
      <c r="W32" s="373" t="s">
        <v>386</v>
      </c>
      <c r="AF32" t="s">
        <v>169</v>
      </c>
      <c r="AM32" t="s">
        <v>62</v>
      </c>
    </row>
    <row r="33" spans="1:39" ht="13.5" customHeight="1" thickBot="1">
      <c r="A33" s="765"/>
      <c r="B33" s="1017" t="s">
        <v>822</v>
      </c>
      <c r="C33" s="1018"/>
      <c r="D33" s="1018"/>
      <c r="E33" s="1018"/>
      <c r="F33" s="1019"/>
      <c r="G33" s="667" t="s">
        <v>828</v>
      </c>
      <c r="H33" s="1119"/>
      <c r="I33" s="1120"/>
      <c r="J33" s="1120"/>
      <c r="K33" s="1121"/>
      <c r="L33" s="765"/>
      <c r="V33">
        <v>8</v>
      </c>
      <c r="W33" s="373" t="s">
        <v>692</v>
      </c>
      <c r="AF33" t="s">
        <v>178</v>
      </c>
      <c r="AM33" t="s">
        <v>599</v>
      </c>
    </row>
    <row r="34" spans="1:39" ht="13.5" customHeight="1">
      <c r="A34" s="765"/>
      <c r="B34" s="1088" t="str">
        <f>IF(S46&lt;4,"ERROR","  ")</f>
        <v>ERROR</v>
      </c>
      <c r="C34" s="1089"/>
      <c r="D34" s="1089"/>
      <c r="E34" s="1089"/>
      <c r="F34" s="1090"/>
      <c r="G34" s="667" t="s">
        <v>828</v>
      </c>
      <c r="H34" s="1119"/>
      <c r="I34" s="1120"/>
      <c r="J34" s="1120"/>
      <c r="K34" s="1121"/>
      <c r="L34" s="765"/>
      <c r="Q34" s="206"/>
      <c r="R34" s="228" t="s">
        <v>616</v>
      </c>
      <c r="S34" s="264"/>
      <c r="T34" s="533"/>
      <c r="U34" s="535"/>
      <c r="V34" s="224">
        <v>9</v>
      </c>
      <c r="W34" s="373" t="s">
        <v>389</v>
      </c>
      <c r="AF34" t="s">
        <v>182</v>
      </c>
      <c r="AM34" t="s">
        <v>600</v>
      </c>
    </row>
    <row r="35" spans="1:39" ht="13.5" customHeight="1">
      <c r="A35" s="765"/>
      <c r="B35" s="1017" t="s">
        <v>821</v>
      </c>
      <c r="C35" s="1018"/>
      <c r="D35" s="1018"/>
      <c r="E35" s="1018"/>
      <c r="F35" s="1019"/>
      <c r="G35" s="667" t="s">
        <v>828</v>
      </c>
      <c r="H35" s="1119"/>
      <c r="I35" s="1120"/>
      <c r="J35" s="1120"/>
      <c r="K35" s="1121"/>
      <c r="L35" s="765"/>
      <c r="R35" s="1022" t="str">
        <f>IF(G41="ORIGINARIO","   ",G42)</f>
        <v>   </v>
      </c>
      <c r="S35" s="1023"/>
      <c r="T35" s="453"/>
      <c r="U35" s="536"/>
      <c r="V35">
        <v>10</v>
      </c>
      <c r="W35" s="373" t="s">
        <v>390</v>
      </c>
      <c r="AF35" t="s">
        <v>192</v>
      </c>
      <c r="AM35" t="s">
        <v>602</v>
      </c>
    </row>
    <row r="36" spans="1:39" ht="13.5" customHeight="1" thickBot="1">
      <c r="A36" s="765"/>
      <c r="B36" s="1017" t="s">
        <v>327</v>
      </c>
      <c r="C36" s="1018"/>
      <c r="D36" s="1018"/>
      <c r="E36" s="1018"/>
      <c r="F36" s="1019"/>
      <c r="G36" s="667" t="s">
        <v>828</v>
      </c>
      <c r="H36" s="1122"/>
      <c r="I36" s="1123"/>
      <c r="J36" s="1123"/>
      <c r="K36" s="1124"/>
      <c r="L36" s="765"/>
      <c r="P36" s="539"/>
      <c r="R36" s="1086" t="str">
        <f>$R$35</f>
        <v>   </v>
      </c>
      <c r="S36" s="1087"/>
      <c r="T36" s="479"/>
      <c r="U36" s="537"/>
      <c r="V36" s="224">
        <v>11</v>
      </c>
      <c r="W36" s="373" t="s">
        <v>388</v>
      </c>
      <c r="AF36" t="s">
        <v>200</v>
      </c>
      <c r="AM36" t="s">
        <v>603</v>
      </c>
    </row>
    <row r="37" spans="1:39" ht="13.5" customHeight="1">
      <c r="A37" s="765"/>
      <c r="B37" s="1017" t="s">
        <v>57</v>
      </c>
      <c r="C37" s="1018"/>
      <c r="D37" s="1018"/>
      <c r="E37" s="1018"/>
      <c r="F37" s="1019"/>
      <c r="G37" s="1036" t="s">
        <v>673</v>
      </c>
      <c r="H37" s="1117"/>
      <c r="I37" s="1117"/>
      <c r="J37" s="1117"/>
      <c r="K37" s="1118"/>
      <c r="L37" s="765"/>
      <c r="R37" s="228" t="s">
        <v>677</v>
      </c>
      <c r="S37" s="264"/>
      <c r="T37" s="478"/>
      <c r="U37" s="224"/>
      <c r="V37">
        <v>12</v>
      </c>
      <c r="W37" s="373" t="s">
        <v>100</v>
      </c>
      <c r="AF37" t="s">
        <v>216</v>
      </c>
      <c r="AM37" t="s">
        <v>607</v>
      </c>
    </row>
    <row r="38" spans="1:39" ht="12.75">
      <c r="A38" s="765"/>
      <c r="B38" s="1017" t="s">
        <v>58</v>
      </c>
      <c r="C38" s="1018"/>
      <c r="D38" s="1018"/>
      <c r="E38" s="1018"/>
      <c r="F38" s="1019"/>
      <c r="G38" s="1036" t="s">
        <v>807</v>
      </c>
      <c r="H38" s="1037"/>
      <c r="I38" s="1037"/>
      <c r="J38" s="1037"/>
      <c r="K38" s="1038"/>
      <c r="L38" s="765"/>
      <c r="R38" s="1080" t="str">
        <f>IF(G41="originario","  ",G44/G43*E130)</f>
        <v>  </v>
      </c>
      <c r="S38" s="1081"/>
      <c r="T38" s="1082"/>
      <c r="U38" s="224"/>
      <c r="V38" s="224">
        <v>13</v>
      </c>
      <c r="W38" s="224" t="s">
        <v>97</v>
      </c>
      <c r="AF38" t="s">
        <v>231</v>
      </c>
      <c r="AM38" t="s">
        <v>606</v>
      </c>
    </row>
    <row r="39" spans="1:39" ht="13.5" thickBot="1">
      <c r="A39" s="765"/>
      <c r="B39" s="1017"/>
      <c r="C39" s="1018"/>
      <c r="D39" s="1018"/>
      <c r="E39" s="1018"/>
      <c r="F39" s="1019"/>
      <c r="G39" s="1039" t="s">
        <v>808</v>
      </c>
      <c r="H39" s="1040"/>
      <c r="I39" s="1040"/>
      <c r="J39" s="1040"/>
      <c r="K39" s="1041"/>
      <c r="L39" s="765"/>
      <c r="R39" s="1083"/>
      <c r="S39" s="1084"/>
      <c r="T39" s="1085"/>
      <c r="U39" s="224"/>
      <c r="V39">
        <v>14</v>
      </c>
      <c r="W39" s="224" t="s">
        <v>420</v>
      </c>
      <c r="AF39" t="s">
        <v>237</v>
      </c>
      <c r="AM39" t="s">
        <v>604</v>
      </c>
    </row>
    <row r="40" spans="1:39" ht="13.5" thickBot="1">
      <c r="A40" s="765"/>
      <c r="B40" s="1017"/>
      <c r="C40" s="1018"/>
      <c r="D40" s="1018"/>
      <c r="E40" s="1018"/>
      <c r="F40" s="1019"/>
      <c r="G40" s="1036" t="s">
        <v>809</v>
      </c>
      <c r="H40" s="1037"/>
      <c r="I40" s="1037"/>
      <c r="J40" s="1037"/>
      <c r="K40" s="1038"/>
      <c r="L40" s="765"/>
      <c r="U40" s="224"/>
      <c r="V40" s="224">
        <v>15</v>
      </c>
      <c r="W40" s="224" t="s">
        <v>317</v>
      </c>
      <c r="AF40" t="s">
        <v>262</v>
      </c>
      <c r="AM40" t="s">
        <v>601</v>
      </c>
    </row>
    <row r="41" spans="1:39" ht="13.5" customHeight="1">
      <c r="A41" s="765"/>
      <c r="B41" s="1017" t="s">
        <v>72</v>
      </c>
      <c r="C41" s="1018"/>
      <c r="D41" s="1018"/>
      <c r="E41" s="1018"/>
      <c r="F41" s="1019"/>
      <c r="G41" s="1148" t="s">
        <v>73</v>
      </c>
      <c r="H41" s="1149"/>
      <c r="I41" s="1149"/>
      <c r="J41" s="1149"/>
      <c r="K41" s="1150"/>
      <c r="L41" s="765"/>
      <c r="M41" s="582"/>
      <c r="N41" s="578"/>
      <c r="O41" s="578"/>
      <c r="R41" s="1020" t="s">
        <v>674</v>
      </c>
      <c r="S41" s="1021"/>
      <c r="U41" s="224"/>
      <c r="V41">
        <v>16</v>
      </c>
      <c r="W41" s="224" t="s">
        <v>98</v>
      </c>
      <c r="AF41" t="s">
        <v>320</v>
      </c>
      <c r="AM41" t="s">
        <v>596</v>
      </c>
    </row>
    <row r="42" spans="1:39" ht="12.75">
      <c r="A42" s="765"/>
      <c r="B42" s="1017" t="str">
        <f>IF(G41="ORIGINARIO","  ","FECHA del CONTRATO ORIGINAL (DD-MM-AA) ")</f>
        <v>  </v>
      </c>
      <c r="C42" s="1018"/>
      <c r="D42" s="1018"/>
      <c r="E42" s="1018"/>
      <c r="F42" s="1019"/>
      <c r="G42" s="1024" t="s">
        <v>8</v>
      </c>
      <c r="H42" s="1025"/>
      <c r="I42" s="1025"/>
      <c r="J42" s="1025"/>
      <c r="K42" s="1026"/>
      <c r="L42" s="765"/>
      <c r="R42" s="232"/>
      <c r="S42" s="579">
        <f>IF(G28="#",0,1)</f>
        <v>0</v>
      </c>
      <c r="U42" s="224"/>
      <c r="V42" s="224">
        <v>17</v>
      </c>
      <c r="W42" s="224" t="s">
        <v>347</v>
      </c>
      <c r="AF42" t="s">
        <v>277</v>
      </c>
      <c r="AM42" t="s">
        <v>597</v>
      </c>
    </row>
    <row r="43" spans="1:42" ht="12.75">
      <c r="A43" s="765"/>
      <c r="B43" s="1017" t="str">
        <f>IF(G41="ORIGINARIO","  ","FACTOR DE CORRECCION DEL CONTRATO ORIGINAL ")</f>
        <v>  </v>
      </c>
      <c r="C43" s="1018"/>
      <c r="D43" s="1018"/>
      <c r="E43" s="1018"/>
      <c r="F43" s="1019"/>
      <c r="G43" s="1130"/>
      <c r="H43" s="1131"/>
      <c r="I43" s="1131"/>
      <c r="J43" s="1131"/>
      <c r="K43" s="1132"/>
      <c r="L43" s="765"/>
      <c r="R43" s="232"/>
      <c r="S43" s="579">
        <f>IF(G29="#",0,1)</f>
        <v>0</v>
      </c>
      <c r="U43" s="224"/>
      <c r="V43">
        <v>18</v>
      </c>
      <c r="W43" s="224" t="s">
        <v>348</v>
      </c>
      <c r="AF43" s="3"/>
      <c r="AM43" t="s">
        <v>598</v>
      </c>
      <c r="AN43" s="3"/>
      <c r="AO43" s="3"/>
      <c r="AP43" s="3"/>
    </row>
    <row r="44" spans="1:58" ht="12.75" customHeight="1">
      <c r="A44" s="765"/>
      <c r="B44" s="1017" t="str">
        <f>IF(G41="ORIGINARIO","  ","MONTO EN PESOS DEL CONTRATO ORIGINAL ")</f>
        <v>  </v>
      </c>
      <c r="C44" s="1018"/>
      <c r="D44" s="1018"/>
      <c r="E44" s="1018"/>
      <c r="F44" s="1019"/>
      <c r="G44" s="1074"/>
      <c r="H44" s="1075"/>
      <c r="I44" s="1075"/>
      <c r="J44" s="1075"/>
      <c r="K44" s="1076"/>
      <c r="L44" s="765"/>
      <c r="R44" s="232"/>
      <c r="S44" s="579">
        <f>IF(G30="#",0,1)</f>
        <v>0</v>
      </c>
      <c r="T44" s="593"/>
      <c r="V44" s="224">
        <v>19</v>
      </c>
      <c r="W44" s="224" t="s">
        <v>349</v>
      </c>
      <c r="AC44" s="3"/>
      <c r="AD44" s="3"/>
      <c r="AE44" s="3"/>
      <c r="AG44" s="3"/>
      <c r="AH44" s="3"/>
      <c r="AI44" s="3"/>
      <c r="AJ44" s="3"/>
      <c r="AK44" s="3"/>
      <c r="AL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28" ht="12.75" customHeight="1">
      <c r="A45" s="765"/>
      <c r="B45" s="1017" t="s">
        <v>59</v>
      </c>
      <c r="C45" s="1018"/>
      <c r="D45" s="1018"/>
      <c r="E45" s="1018"/>
      <c r="F45" s="1019"/>
      <c r="G45" s="1114" t="s">
        <v>8</v>
      </c>
      <c r="H45" s="1115"/>
      <c r="I45" s="1115"/>
      <c r="J45" s="1115"/>
      <c r="K45" s="1116"/>
      <c r="L45" s="765"/>
      <c r="Q45" s="3"/>
      <c r="R45" s="232"/>
      <c r="S45" s="579">
        <f>IF(G31="#",0,1)</f>
        <v>0</v>
      </c>
      <c r="T45" s="593"/>
      <c r="U45" s="3"/>
      <c r="V45">
        <v>20</v>
      </c>
      <c r="W45" s="373" t="s">
        <v>391</v>
      </c>
      <c r="X45" s="3"/>
      <c r="Y45" s="3"/>
      <c r="Z45" s="3"/>
      <c r="AA45" s="3"/>
      <c r="AB45" s="3"/>
    </row>
    <row r="46" spans="1:23" ht="12.75" customHeight="1" thickBot="1">
      <c r="A46" s="765"/>
      <c r="B46" s="1017" t="s">
        <v>298</v>
      </c>
      <c r="C46" s="1018"/>
      <c r="D46" s="1018"/>
      <c r="E46" s="1018"/>
      <c r="F46" s="1019"/>
      <c r="G46" s="1111" t="s">
        <v>498</v>
      </c>
      <c r="H46" s="1112"/>
      <c r="I46" s="1112"/>
      <c r="J46" s="1112"/>
      <c r="K46" s="1113"/>
      <c r="L46" s="765"/>
      <c r="R46" s="231"/>
      <c r="S46" s="580">
        <f>SUM(S42:S45)</f>
        <v>0</v>
      </c>
      <c r="V46" s="224">
        <v>21</v>
      </c>
      <c r="W46" t="s">
        <v>392</v>
      </c>
    </row>
    <row r="47" spans="1:32" ht="23.25" customHeight="1">
      <c r="A47" s="765"/>
      <c r="B47" s="1154" t="s">
        <v>811</v>
      </c>
      <c r="C47" s="1155"/>
      <c r="D47" s="1155"/>
      <c r="E47" s="1155"/>
      <c r="F47" s="1156"/>
      <c r="G47" s="1125" t="s">
        <v>826</v>
      </c>
      <c r="H47" s="1126"/>
      <c r="I47" s="1126"/>
      <c r="J47" s="1126"/>
      <c r="K47" s="1127"/>
      <c r="L47" s="765"/>
      <c r="V47">
        <v>22</v>
      </c>
      <c r="W47" s="373" t="s">
        <v>393</v>
      </c>
      <c r="AF47" t="s">
        <v>283</v>
      </c>
    </row>
    <row r="48" spans="1:53" ht="12.75" customHeight="1">
      <c r="A48" s="765"/>
      <c r="B48" s="1157"/>
      <c r="C48" s="1158"/>
      <c r="D48" s="1158"/>
      <c r="E48" s="1158"/>
      <c r="F48" s="1159"/>
      <c r="G48" s="1125"/>
      <c r="H48" s="1126"/>
      <c r="I48" s="1126"/>
      <c r="J48" s="1126"/>
      <c r="K48" s="1127"/>
      <c r="L48" s="765"/>
      <c r="Q48" s="534"/>
      <c r="V48" s="224">
        <v>23</v>
      </c>
      <c r="W48" s="373" t="s">
        <v>394</v>
      </c>
      <c r="BA48" s="367"/>
    </row>
    <row r="49" spans="1:23" ht="13.5" thickBot="1">
      <c r="A49" s="765"/>
      <c r="B49" s="1160"/>
      <c r="C49" s="1161"/>
      <c r="D49" s="1161"/>
      <c r="E49" s="1161"/>
      <c r="F49" s="1162"/>
      <c r="G49" s="1125"/>
      <c r="H49" s="1126"/>
      <c r="I49" s="1126"/>
      <c r="J49" s="1126"/>
      <c r="K49" s="1127"/>
      <c r="L49" s="765"/>
      <c r="V49">
        <v>24</v>
      </c>
      <c r="W49" s="373" t="s">
        <v>395</v>
      </c>
    </row>
    <row r="50" spans="1:23" ht="31.5" customHeight="1" thickBot="1">
      <c r="A50" s="765"/>
      <c r="B50" s="1154" t="s">
        <v>332</v>
      </c>
      <c r="C50" s="1155"/>
      <c r="D50" s="1155"/>
      <c r="E50" s="1155"/>
      <c r="F50" s="1156"/>
      <c r="G50" s="1125" t="s">
        <v>333</v>
      </c>
      <c r="H50" s="1126"/>
      <c r="I50" s="1126"/>
      <c r="J50" s="1126"/>
      <c r="K50" s="1127"/>
      <c r="L50" s="765"/>
      <c r="N50" s="3"/>
      <c r="O50" s="3"/>
      <c r="P50" s="534"/>
      <c r="R50" s="23" t="s">
        <v>676</v>
      </c>
      <c r="V50" s="224">
        <v>25</v>
      </c>
      <c r="W50" s="373" t="s">
        <v>396</v>
      </c>
    </row>
    <row r="51" spans="1:23" ht="12.75" customHeight="1" thickBot="1">
      <c r="A51" s="765"/>
      <c r="B51" s="1157"/>
      <c r="C51" s="1158"/>
      <c r="D51" s="1158"/>
      <c r="E51" s="1158"/>
      <c r="F51" s="1159"/>
      <c r="G51" s="1125"/>
      <c r="H51" s="1126"/>
      <c r="I51" s="1126"/>
      <c r="J51" s="1126"/>
      <c r="K51" s="1127"/>
      <c r="L51" s="765"/>
      <c r="M51" s="3"/>
      <c r="V51">
        <v>26</v>
      </c>
      <c r="W51" s="373" t="s">
        <v>634</v>
      </c>
    </row>
    <row r="52" spans="1:23" ht="13.5" thickBot="1">
      <c r="A52" s="765"/>
      <c r="B52" s="1160"/>
      <c r="C52" s="1161"/>
      <c r="D52" s="1161"/>
      <c r="E52" s="1161"/>
      <c r="F52" s="1162"/>
      <c r="G52" s="1125"/>
      <c r="H52" s="1126"/>
      <c r="I52" s="1126"/>
      <c r="J52" s="1126"/>
      <c r="K52" s="1127"/>
      <c r="L52" s="765"/>
      <c r="R52" s="1193" t="s">
        <v>850</v>
      </c>
      <c r="S52" s="1194"/>
      <c r="T52" s="428"/>
      <c r="V52" s="224">
        <v>27</v>
      </c>
      <c r="W52" s="373" t="s">
        <v>397</v>
      </c>
    </row>
    <row r="53" spans="1:23" ht="13.5" customHeight="1">
      <c r="A53" s="765"/>
      <c r="B53" s="1172" t="s">
        <v>862</v>
      </c>
      <c r="C53" s="1173"/>
      <c r="D53" s="1173"/>
      <c r="E53" s="1173"/>
      <c r="F53" s="1174"/>
      <c r="G53" s="1175">
        <v>0</v>
      </c>
      <c r="H53" s="1176"/>
      <c r="I53" s="1176"/>
      <c r="J53" s="1176"/>
      <c r="K53" s="1177"/>
      <c r="L53" s="765"/>
      <c r="N53" s="534"/>
      <c r="O53" s="534"/>
      <c r="R53" s="901">
        <v>0.3</v>
      </c>
      <c r="S53" s="829"/>
      <c r="V53">
        <v>28</v>
      </c>
      <c r="W53" s="373" t="s">
        <v>398</v>
      </c>
    </row>
    <row r="54" spans="1:23" ht="15" customHeight="1" thickBot="1">
      <c r="A54" s="765"/>
      <c r="B54" s="1163" t="s">
        <v>518</v>
      </c>
      <c r="C54" s="1164"/>
      <c r="D54" s="1164"/>
      <c r="E54" s="1164"/>
      <c r="F54" s="1165"/>
      <c r="G54" s="1166" t="s">
        <v>8</v>
      </c>
      <c r="H54" s="1167"/>
      <c r="I54" s="1167"/>
      <c r="J54" s="1167"/>
      <c r="K54" s="1168"/>
      <c r="L54" s="765"/>
      <c r="N54" s="534"/>
      <c r="O54" s="534"/>
      <c r="R54" s="908">
        <v>0.45</v>
      </c>
      <c r="S54" s="830"/>
      <c r="V54" s="224"/>
      <c r="W54" s="373"/>
    </row>
    <row r="55" spans="1:19" ht="11.25" customHeight="1" thickBot="1">
      <c r="A55" s="765"/>
      <c r="B55" s="1178"/>
      <c r="C55" s="1178"/>
      <c r="D55" s="1178"/>
      <c r="E55" s="1178"/>
      <c r="F55" s="1178"/>
      <c r="G55" s="1178"/>
      <c r="H55" s="1178"/>
      <c r="I55" s="1178"/>
      <c r="J55" s="1178"/>
      <c r="K55" s="1178"/>
      <c r="L55" s="765"/>
      <c r="M55" s="534"/>
      <c r="R55" s="903">
        <v>0.6</v>
      </c>
      <c r="S55" s="828"/>
    </row>
    <row r="56" spans="1:23" ht="22.5" customHeight="1" thickBot="1">
      <c r="A56" s="765"/>
      <c r="B56" s="1179" t="s">
        <v>827</v>
      </c>
      <c r="C56" s="1180"/>
      <c r="D56" s="1180"/>
      <c r="E56" s="1180"/>
      <c r="F56" s="1180"/>
      <c r="G56" s="1180"/>
      <c r="H56" s="1180"/>
      <c r="I56" s="1180"/>
      <c r="J56" s="1180"/>
      <c r="K56" s="1181"/>
      <c r="L56" s="765"/>
      <c r="R56" s="914">
        <v>0</v>
      </c>
      <c r="S56" s="831"/>
      <c r="W56" s="368"/>
    </row>
    <row r="57" spans="1:12" ht="11.25" customHeight="1" thickBot="1">
      <c r="A57" s="765"/>
      <c r="B57" s="780"/>
      <c r="C57" s="780"/>
      <c r="D57" s="780"/>
      <c r="E57" s="780"/>
      <c r="F57" s="780"/>
      <c r="G57" s="780"/>
      <c r="H57" s="780"/>
      <c r="I57" s="780"/>
      <c r="J57" s="780"/>
      <c r="K57" s="780"/>
      <c r="L57" s="765"/>
    </row>
    <row r="58" spans="1:12" ht="24" customHeight="1" thickBot="1">
      <c r="A58" s="765"/>
      <c r="B58" s="1151" t="s">
        <v>839</v>
      </c>
      <c r="C58" s="1152"/>
      <c r="D58" s="1152"/>
      <c r="E58" s="1152"/>
      <c r="F58" s="1153"/>
      <c r="G58" s="1138" t="s">
        <v>507</v>
      </c>
      <c r="H58" s="1139"/>
      <c r="I58" s="1139"/>
      <c r="J58" s="1139"/>
      <c r="K58" s="1140"/>
      <c r="L58" s="765"/>
    </row>
    <row r="59" spans="1:30" ht="24.75" customHeight="1" thickBot="1">
      <c r="A59" s="765"/>
      <c r="B59" s="1145" t="s">
        <v>840</v>
      </c>
      <c r="C59" s="1146"/>
      <c r="D59" s="1146"/>
      <c r="E59" s="1146"/>
      <c r="F59" s="1147"/>
      <c r="G59" s="1138" t="s">
        <v>507</v>
      </c>
      <c r="H59" s="1139"/>
      <c r="I59" s="1139"/>
      <c r="J59" s="1139"/>
      <c r="K59" s="1140"/>
      <c r="L59" s="765"/>
      <c r="R59" s="807" t="s">
        <v>837</v>
      </c>
      <c r="U59" s="682" t="str">
        <f>IF(G59="no"," ",B59)</f>
        <v> </v>
      </c>
      <c r="V59" s="683"/>
      <c r="W59" s="684"/>
      <c r="Y59" s="685" t="s">
        <v>694</v>
      </c>
      <c r="Z59" s="686"/>
      <c r="AA59" s="637" t="s">
        <v>507</v>
      </c>
      <c r="AD59" s="225" t="s">
        <v>612</v>
      </c>
    </row>
    <row r="60" spans="1:30" ht="24.75" customHeight="1" thickBot="1">
      <c r="A60" s="765"/>
      <c r="B60" s="1145" t="s">
        <v>841</v>
      </c>
      <c r="C60" s="1146"/>
      <c r="D60" s="1146"/>
      <c r="E60" s="1146"/>
      <c r="F60" s="1147"/>
      <c r="G60" s="1138" t="s">
        <v>507</v>
      </c>
      <c r="H60" s="1139"/>
      <c r="I60" s="1139"/>
      <c r="J60" s="1139"/>
      <c r="K60" s="1140"/>
      <c r="L60" s="765"/>
      <c r="U60" s="682" t="str">
        <f>IF(G60="no"," ",B60)</f>
        <v> </v>
      </c>
      <c r="V60" s="683"/>
      <c r="W60" s="684"/>
      <c r="Y60" s="685" t="s">
        <v>695</v>
      </c>
      <c r="Z60" s="686"/>
      <c r="AA60" s="635" t="s">
        <v>507</v>
      </c>
      <c r="AD60" s="225" t="s">
        <v>611</v>
      </c>
    </row>
    <row r="61" spans="1:23" ht="24.75" customHeight="1" thickBot="1">
      <c r="A61" s="765"/>
      <c r="B61" s="1151" t="s">
        <v>881</v>
      </c>
      <c r="C61" s="1152"/>
      <c r="D61" s="1152"/>
      <c r="E61" s="1152"/>
      <c r="F61" s="1153"/>
      <c r="G61" s="1138" t="s">
        <v>507</v>
      </c>
      <c r="H61" s="1139"/>
      <c r="I61" s="1139"/>
      <c r="J61" s="1139"/>
      <c r="K61" s="1140"/>
      <c r="L61" s="765"/>
      <c r="U61" s="682" t="str">
        <f>IF(G61="no"," ",B61)</f>
        <v> </v>
      </c>
      <c r="V61" s="683"/>
      <c r="W61" s="684"/>
    </row>
    <row r="62" spans="1:33" ht="24.75" customHeight="1" thickBot="1">
      <c r="A62" s="765"/>
      <c r="B62" s="1145" t="str">
        <f>IF(G61="NO"," -DIREC. EJECUTIVA AL 50-30%"," ")</f>
        <v> -DIREC. EJECUTIVA AL 50-30%</v>
      </c>
      <c r="C62" s="1146"/>
      <c r="D62" s="1146"/>
      <c r="E62" s="1146"/>
      <c r="F62" s="1147"/>
      <c r="G62" s="1138" t="s">
        <v>507</v>
      </c>
      <c r="H62" s="1139"/>
      <c r="I62" s="1139"/>
      <c r="J62" s="1139"/>
      <c r="K62" s="1140"/>
      <c r="L62" s="765"/>
      <c r="U62" s="682" t="str">
        <f>IF(G62="no"," ",B62)</f>
        <v> </v>
      </c>
      <c r="V62" s="683"/>
      <c r="W62" s="684"/>
      <c r="AG62" t="s">
        <v>497</v>
      </c>
    </row>
    <row r="63" spans="1:23" ht="24.75" customHeight="1" thickBot="1">
      <c r="A63" s="765"/>
      <c r="B63" s="1145" t="str">
        <f>IF(G61="NO"," -DIREC. EJECUTIVA AL 60-40%"," ")</f>
        <v> -DIREC. EJECUTIVA AL 60-40%</v>
      </c>
      <c r="C63" s="1146"/>
      <c r="D63" s="1146"/>
      <c r="E63" s="1146"/>
      <c r="F63" s="1147"/>
      <c r="G63" s="1138" t="s">
        <v>507</v>
      </c>
      <c r="H63" s="1139"/>
      <c r="I63" s="1139"/>
      <c r="J63" s="1139"/>
      <c r="K63" s="1140"/>
      <c r="L63" s="765"/>
      <c r="R63" s="905" t="s">
        <v>506</v>
      </c>
      <c r="U63" s="682" t="str">
        <f>IF(G63="no"," ",B63)</f>
        <v> </v>
      </c>
      <c r="V63" s="683"/>
      <c r="W63" s="684"/>
    </row>
    <row r="64" spans="1:42" ht="24.75" customHeight="1" thickBot="1">
      <c r="A64" s="765"/>
      <c r="B64" s="1169" t="s">
        <v>868</v>
      </c>
      <c r="C64" s="1170"/>
      <c r="D64" s="1170"/>
      <c r="E64" s="1170"/>
      <c r="F64" s="1171"/>
      <c r="G64" s="1138" t="s">
        <v>507</v>
      </c>
      <c r="H64" s="1139"/>
      <c r="I64" s="1139"/>
      <c r="J64" s="1139"/>
      <c r="K64" s="1140"/>
      <c r="L64" s="765"/>
      <c r="R64" s="906" t="s">
        <v>507</v>
      </c>
      <c r="U64" s="682" t="str">
        <f>IF(G66="no"," ",B66)</f>
        <v> </v>
      </c>
      <c r="V64" s="683"/>
      <c r="W64" s="684"/>
      <c r="AG64" t="s">
        <v>498</v>
      </c>
      <c r="AO64" s="368"/>
      <c r="AP64" s="368"/>
    </row>
    <row r="65" spans="1:42" s="368" customFormat="1" ht="24.75" customHeight="1" thickBot="1">
      <c r="A65" s="765"/>
      <c r="B65" s="839" t="s">
        <v>869</v>
      </c>
      <c r="C65" s="840"/>
      <c r="D65" s="840"/>
      <c r="E65" s="840"/>
      <c r="F65" s="840"/>
      <c r="G65" s="1138" t="s">
        <v>507</v>
      </c>
      <c r="H65" s="1139"/>
      <c r="I65" s="1139"/>
      <c r="J65" s="1139"/>
      <c r="K65" s="1140"/>
      <c r="L65" s="765"/>
      <c r="M65"/>
      <c r="N65"/>
      <c r="O65"/>
      <c r="P65" s="538"/>
      <c r="Q65"/>
      <c r="R65" s="907" t="s">
        <v>8</v>
      </c>
      <c r="U65" s="682" t="str">
        <f>IF(AA59="no"," ",Y59)</f>
        <v> </v>
      </c>
      <c r="V65" s="683"/>
      <c r="W65" s="684"/>
      <c r="X65"/>
      <c r="Y65"/>
      <c r="Z65"/>
      <c r="AA65"/>
      <c r="AB65"/>
      <c r="AC65"/>
      <c r="AD65"/>
      <c r="AE65"/>
      <c r="AF65"/>
      <c r="AG65" t="s">
        <v>499</v>
      </c>
      <c r="AH65"/>
      <c r="AI65"/>
      <c r="AJ65"/>
      <c r="AK65"/>
      <c r="AL65"/>
      <c r="AM65"/>
      <c r="AN65"/>
      <c r="AO65"/>
      <c r="AP65"/>
    </row>
    <row r="66" spans="1:24" ht="24.75" customHeight="1" thickBot="1">
      <c r="A66" s="765"/>
      <c r="B66" s="1151" t="s">
        <v>842</v>
      </c>
      <c r="C66" s="1152"/>
      <c r="D66" s="1152"/>
      <c r="E66" s="1152"/>
      <c r="F66" s="1153"/>
      <c r="G66" s="1138" t="s">
        <v>507</v>
      </c>
      <c r="H66" s="1139"/>
      <c r="I66" s="1139"/>
      <c r="J66" s="1139"/>
      <c r="K66" s="1140"/>
      <c r="L66" s="765"/>
      <c r="U66" s="682" t="str">
        <f>IF(AA60="no"," ",Y60)</f>
        <v> </v>
      </c>
      <c r="V66" s="683"/>
      <c r="W66" s="684"/>
      <c r="X66" s="368"/>
    </row>
    <row r="67" spans="1:33" ht="24.75" customHeight="1" thickBot="1">
      <c r="A67" s="765"/>
      <c r="B67" s="1145" t="s">
        <v>843</v>
      </c>
      <c r="C67" s="1146"/>
      <c r="D67" s="1146"/>
      <c r="E67" s="1146"/>
      <c r="F67" s="1147"/>
      <c r="G67" s="1138" t="s">
        <v>507</v>
      </c>
      <c r="H67" s="1139"/>
      <c r="I67" s="1139"/>
      <c r="J67" s="1139"/>
      <c r="K67" s="1140"/>
      <c r="L67" s="765"/>
      <c r="Q67" s="368"/>
      <c r="U67" s="813" t="str">
        <f>IF(G58="no"," ",B58)</f>
        <v> </v>
      </c>
      <c r="V67" s="683"/>
      <c r="W67" s="684"/>
      <c r="X67" s="1201" t="str">
        <f>CONCATENATE(U59,U60,U61,U62,U63,U64,U67,U68,U69,U70,U71,U72)</f>
        <v>            </v>
      </c>
      <c r="Y67" s="1202"/>
      <c r="Z67" s="1202"/>
      <c r="AA67" s="1202"/>
      <c r="AB67" s="1202"/>
      <c r="AC67" s="1202"/>
      <c r="AD67" s="1202"/>
      <c r="AE67" s="1202"/>
      <c r="AF67" s="1202"/>
      <c r="AG67" s="1202"/>
    </row>
    <row r="68" spans="1:33" ht="24.75" customHeight="1" thickBot="1">
      <c r="A68" s="765"/>
      <c r="B68" s="1151" t="s">
        <v>844</v>
      </c>
      <c r="C68" s="1152"/>
      <c r="D68" s="1152"/>
      <c r="E68" s="1152"/>
      <c r="F68" s="1153"/>
      <c r="G68" s="1138" t="s">
        <v>507</v>
      </c>
      <c r="H68" s="1139"/>
      <c r="I68" s="1139"/>
      <c r="J68" s="1139"/>
      <c r="K68" s="1140"/>
      <c r="L68" s="765"/>
      <c r="P68" s="540"/>
      <c r="Q68" s="163"/>
      <c r="U68" s="1013" t="str">
        <f>IF(G67="no"," ",B67)</f>
        <v> </v>
      </c>
      <c r="V68" s="1013"/>
      <c r="W68" s="1013"/>
      <c r="X68" s="1201"/>
      <c r="Y68" s="1202"/>
      <c r="Z68" s="1202"/>
      <c r="AA68" s="1202"/>
      <c r="AB68" s="1202"/>
      <c r="AC68" s="1202"/>
      <c r="AD68" s="1202"/>
      <c r="AE68" s="1202"/>
      <c r="AF68" s="1202"/>
      <c r="AG68" s="1202"/>
    </row>
    <row r="69" spans="1:40" ht="24.75" customHeight="1" thickBot="1">
      <c r="A69" s="765"/>
      <c r="B69" s="1151" t="s">
        <v>845</v>
      </c>
      <c r="C69" s="1152"/>
      <c r="D69" s="1152"/>
      <c r="E69" s="1152"/>
      <c r="F69" s="1153"/>
      <c r="G69" s="1138" t="s">
        <v>507</v>
      </c>
      <c r="H69" s="1139"/>
      <c r="I69" s="1139"/>
      <c r="J69" s="1139"/>
      <c r="K69" s="1140"/>
      <c r="L69" s="765"/>
      <c r="P69" s="540"/>
      <c r="Q69" s="163"/>
      <c r="U69" s="1013" t="str">
        <f>IF(G68="no"," ",B68)</f>
        <v> </v>
      </c>
      <c r="V69" s="1013"/>
      <c r="W69" s="1013"/>
      <c r="X69" s="163"/>
      <c r="AF69" s="368"/>
      <c r="AI69" s="368"/>
      <c r="AL69" s="368"/>
      <c r="AM69" s="368"/>
      <c r="AN69" s="368"/>
    </row>
    <row r="70" spans="1:37" ht="26.25" customHeight="1" thickBot="1">
      <c r="A70" s="765"/>
      <c r="B70" s="1151" t="s">
        <v>838</v>
      </c>
      <c r="C70" s="1152"/>
      <c r="D70" s="1152"/>
      <c r="E70" s="1152"/>
      <c r="F70" s="1153"/>
      <c r="G70" s="1138" t="s">
        <v>507</v>
      </c>
      <c r="H70" s="1139"/>
      <c r="I70" s="1139"/>
      <c r="J70" s="1139"/>
      <c r="K70" s="1140"/>
      <c r="L70" s="765"/>
      <c r="M70" s="368"/>
      <c r="N70" s="163"/>
      <c r="O70" s="163"/>
      <c r="P70" s="540"/>
      <c r="Q70" s="163"/>
      <c r="U70" s="1013" t="str">
        <f>IF(G69="no"," ",B69)</f>
        <v> </v>
      </c>
      <c r="V70" s="1013"/>
      <c r="W70" s="1013"/>
      <c r="X70" s="163"/>
      <c r="AD70" s="368"/>
      <c r="AE70" s="368"/>
      <c r="AG70" s="368"/>
      <c r="AH70" s="368"/>
      <c r="AJ70" s="475"/>
      <c r="AK70" s="368"/>
    </row>
    <row r="71" spans="1:40" s="183" customFormat="1" ht="27" customHeight="1" thickBot="1">
      <c r="A71" s="765"/>
      <c r="B71" s="1151" t="s">
        <v>867</v>
      </c>
      <c r="C71" s="1152"/>
      <c r="D71" s="1152"/>
      <c r="E71" s="1152"/>
      <c r="F71" s="1153"/>
      <c r="G71" s="1138" t="s">
        <v>507</v>
      </c>
      <c r="H71" s="1139"/>
      <c r="I71" s="1139"/>
      <c r="J71" s="1139"/>
      <c r="K71" s="1140"/>
      <c r="L71" s="765"/>
      <c r="M71" s="368"/>
      <c r="N71" s="163"/>
      <c r="O71" s="163"/>
      <c r="P71" s="540"/>
      <c r="Q71" s="163"/>
      <c r="R71" s="163"/>
      <c r="S71" s="163"/>
      <c r="T71" s="453"/>
      <c r="U71" s="1013" t="str">
        <f>IF(G70="no"," ",B70)</f>
        <v> </v>
      </c>
      <c r="V71" s="1013"/>
      <c r="W71" s="1013"/>
      <c r="X71" s="163"/>
      <c r="Y71"/>
      <c r="Z71"/>
      <c r="AA71"/>
      <c r="AB71"/>
      <c r="AC71"/>
      <c r="AD71"/>
      <c r="AE71"/>
      <c r="AF71"/>
      <c r="AG71"/>
      <c r="AH71"/>
      <c r="AI71"/>
      <c r="AJ71" s="225"/>
      <c r="AK71"/>
      <c r="AL71"/>
      <c r="AM71"/>
      <c r="AN71"/>
    </row>
    <row r="72" spans="1:40" s="183" customFormat="1" ht="12" customHeight="1" thickBot="1">
      <c r="A72" s="765"/>
      <c r="B72" s="1060"/>
      <c r="C72" s="1060"/>
      <c r="D72" s="1060"/>
      <c r="E72" s="1060"/>
      <c r="F72" s="1060"/>
      <c r="G72" s="1060"/>
      <c r="H72" s="1060"/>
      <c r="I72" s="1060"/>
      <c r="J72" s="1060"/>
      <c r="K72" s="1060"/>
      <c r="L72" s="765"/>
      <c r="M72" s="453"/>
      <c r="N72" s="163"/>
      <c r="O72" s="163"/>
      <c r="P72" s="540"/>
      <c r="Q72" s="163"/>
      <c r="R72" s="163"/>
      <c r="S72" s="163"/>
      <c r="T72" s="453"/>
      <c r="U72" s="1013" t="str">
        <f>IF(G64="no"," ",B64)</f>
        <v> </v>
      </c>
      <c r="V72" s="1013"/>
      <c r="W72" s="1013"/>
      <c r="X72" s="163"/>
      <c r="Y72"/>
      <c r="Z72"/>
      <c r="AA72"/>
      <c r="AB72"/>
      <c r="AC72"/>
      <c r="AD72"/>
      <c r="AE72"/>
      <c r="AF72"/>
      <c r="AG72"/>
      <c r="AH72"/>
      <c r="AI72"/>
      <c r="AJ72" s="225"/>
      <c r="AK72"/>
      <c r="AL72"/>
      <c r="AM72"/>
      <c r="AN72"/>
    </row>
    <row r="73" spans="1:20" ht="27.75" customHeight="1">
      <c r="A73" s="765"/>
      <c r="B73" s="1141" t="s">
        <v>385</v>
      </c>
      <c r="C73" s="1142"/>
      <c r="D73" s="1142"/>
      <c r="E73" s="1142"/>
      <c r="F73" s="1142"/>
      <c r="G73" s="1191">
        <f>IF(G58="SI",'ACTA ESTADO DE OBRA'!H45,0)</f>
        <v>0</v>
      </c>
      <c r="H73" s="1191"/>
      <c r="I73" s="1191"/>
      <c r="J73" s="1191"/>
      <c r="K73" s="1192"/>
      <c r="L73" s="765"/>
      <c r="M73" s="163"/>
      <c r="N73" s="163"/>
      <c r="O73" s="163"/>
      <c r="P73" s="540"/>
      <c r="Q73" s="163"/>
      <c r="R73" s="163"/>
      <c r="S73" s="163"/>
      <c r="T73" s="453"/>
    </row>
    <row r="74" spans="1:20" ht="11.25" customHeight="1" thickBot="1">
      <c r="A74" s="765"/>
      <c r="B74" s="1106"/>
      <c r="C74" s="1106"/>
      <c r="D74" s="1106"/>
      <c r="E74" s="1106"/>
      <c r="F74" s="1106"/>
      <c r="G74" s="1106"/>
      <c r="H74" s="1106"/>
      <c r="I74" s="1106"/>
      <c r="J74" s="1106"/>
      <c r="K74" s="1106"/>
      <c r="L74" s="765"/>
      <c r="M74" s="163"/>
      <c r="N74" s="163"/>
      <c r="O74" s="163"/>
      <c r="P74" s="540"/>
      <c r="Q74" s="163"/>
      <c r="R74" s="163"/>
      <c r="S74" s="163"/>
      <c r="T74" s="163"/>
    </row>
    <row r="75" spans="1:22" ht="27" customHeight="1" thickBot="1">
      <c r="A75" s="765"/>
      <c r="B75" s="1188" t="s">
        <v>352</v>
      </c>
      <c r="C75" s="1189"/>
      <c r="D75" s="1189"/>
      <c r="E75" s="1189"/>
      <c r="F75" s="1190"/>
      <c r="G75" s="1135" t="s">
        <v>507</v>
      </c>
      <c r="H75" s="1136"/>
      <c r="I75" s="1136"/>
      <c r="J75" s="1136"/>
      <c r="K75" s="1137"/>
      <c r="L75" s="765"/>
      <c r="M75" s="163"/>
      <c r="N75" s="163"/>
      <c r="O75" s="163"/>
      <c r="P75" s="540"/>
      <c r="Q75" s="163"/>
      <c r="R75" s="225"/>
      <c r="S75" s="163"/>
      <c r="T75" s="163"/>
      <c r="U75" s="453"/>
      <c r="V75" s="163"/>
    </row>
    <row r="76" spans="1:22" ht="12" customHeight="1" thickBot="1">
      <c r="A76" s="765"/>
      <c r="B76" s="1205" t="s">
        <v>8</v>
      </c>
      <c r="C76" s="1205"/>
      <c r="D76" s="1205"/>
      <c r="E76" s="1205"/>
      <c r="F76" s="1205"/>
      <c r="G76" s="1205"/>
      <c r="H76" s="1205"/>
      <c r="I76" s="1205"/>
      <c r="J76" s="1205"/>
      <c r="K76" s="1205"/>
      <c r="L76" s="765"/>
      <c r="M76" s="163"/>
      <c r="N76" s="163"/>
      <c r="O76" s="163"/>
      <c r="Q76" s="163"/>
      <c r="R76" s="163"/>
      <c r="S76" s="163"/>
      <c r="T76" s="163"/>
      <c r="U76" s="453"/>
      <c r="V76" s="163"/>
    </row>
    <row r="77" spans="1:22" ht="18.75" thickBot="1">
      <c r="A77" s="765"/>
      <c r="B77" s="1195" t="str">
        <f>IF(G75="si","CATEGORIZACION DE VIVIENDAS UNIFAMILIARES","  ")</f>
        <v>  </v>
      </c>
      <c r="C77" s="1196"/>
      <c r="D77" s="1196"/>
      <c r="E77" s="1196"/>
      <c r="F77" s="1196"/>
      <c r="G77" s="1196"/>
      <c r="H77" s="1196"/>
      <c r="I77" s="1196"/>
      <c r="J77" s="1196"/>
      <c r="K77" s="1197"/>
      <c r="L77" s="765"/>
      <c r="M77" s="163"/>
      <c r="N77" s="163"/>
      <c r="O77" s="163"/>
      <c r="P77" s="538" t="s">
        <v>8</v>
      </c>
      <c r="Q77" s="163"/>
      <c r="R77" s="909">
        <f aca="true" t="shared" si="0" ref="R77:R82">IF(J79="SI",1,0)</f>
        <v>0</v>
      </c>
      <c r="S77" s="533"/>
      <c r="T77" s="583"/>
      <c r="U77" s="453"/>
      <c r="V77" s="163"/>
    </row>
    <row r="78" spans="1:34" s="3" customFormat="1" ht="21.75" customHeight="1" thickBot="1">
      <c r="A78" s="765"/>
      <c r="B78" s="650" t="str">
        <f>IF(G75="SI","1.2.","  ")</f>
        <v>  </v>
      </c>
      <c r="C78" s="1008" t="str">
        <f>IF(G75="SI"," VIVIENDAS UNIFAMILIARES","  ")</f>
        <v>  </v>
      </c>
      <c r="D78" s="1008"/>
      <c r="E78" s="1008"/>
      <c r="F78" s="1008"/>
      <c r="G78" s="1008"/>
      <c r="H78" s="1008"/>
      <c r="I78" s="1008"/>
      <c r="J78" s="1206"/>
      <c r="K78" s="1207"/>
      <c r="L78" s="765"/>
      <c r="M78" s="163"/>
      <c r="N78" s="163"/>
      <c r="O78" s="163"/>
      <c r="P78" s="538"/>
      <c r="Q78" s="163"/>
      <c r="R78" s="910">
        <f t="shared" si="0"/>
        <v>0</v>
      </c>
      <c r="S78" s="913" t="str">
        <f>IF(AND(R85=0)," A"," ")</f>
        <v> </v>
      </c>
      <c r="T78" s="233"/>
      <c r="U78" s="37"/>
      <c r="AD78"/>
      <c r="AE78"/>
      <c r="AF78"/>
      <c r="AG78"/>
      <c r="AH78"/>
    </row>
    <row r="79" spans="1:34" ht="15.75" customHeight="1" thickBot="1">
      <c r="A79" s="765"/>
      <c r="B79" s="651" t="str">
        <f>IF(G75="SI","1)","  ")</f>
        <v>  </v>
      </c>
      <c r="C79" s="1143" t="str">
        <f>IF(G75="SI","Con dependencias de servicio","  ")</f>
        <v>  </v>
      </c>
      <c r="D79" s="1144"/>
      <c r="E79" s="1144"/>
      <c r="F79" s="1144"/>
      <c r="G79" s="1144"/>
      <c r="H79" s="1144"/>
      <c r="I79" s="1144"/>
      <c r="J79" s="915" t="str">
        <f>IF($G$75="SI","NO","  ")</f>
        <v>  </v>
      </c>
      <c r="K79" s="1210" t="str">
        <f>IF($G$75="SI","CAT.","  ")</f>
        <v>  </v>
      </c>
      <c r="L79" s="765"/>
      <c r="M79" s="163"/>
      <c r="N79" s="163"/>
      <c r="O79" s="163"/>
      <c r="Q79" s="163"/>
      <c r="R79" s="910">
        <f t="shared" si="0"/>
        <v>0</v>
      </c>
      <c r="S79" s="913" t="str">
        <f>IF(R85=0," ",(IF(AND(R85=1)," B ","  ")))</f>
        <v>  </v>
      </c>
      <c r="T79" s="233"/>
      <c r="U79" s="183"/>
      <c r="AD79" s="3"/>
      <c r="AE79" s="3"/>
      <c r="AF79" s="3"/>
      <c r="AG79" s="3"/>
      <c r="AH79" s="3"/>
    </row>
    <row r="80" spans="1:20" ht="16.5" customHeight="1" thickBot="1">
      <c r="A80" s="765"/>
      <c r="B80" s="652" t="str">
        <f>IF(G75="SI","2)","  ")</f>
        <v>  </v>
      </c>
      <c r="C80" s="1133" t="str">
        <f>IF(G75="SI","Dos o mas cocheras cubiertas o semicubiertas","  ")</f>
        <v>  </v>
      </c>
      <c r="D80" s="1134"/>
      <c r="E80" s="1134"/>
      <c r="F80" s="1134"/>
      <c r="G80" s="1134"/>
      <c r="H80" s="1134"/>
      <c r="I80" s="1134"/>
      <c r="J80" s="915" t="str">
        <f aca="true" t="shared" si="1" ref="J80:J86">IF($G$75="SI","NO","  ")</f>
        <v>  </v>
      </c>
      <c r="K80" s="1211"/>
      <c r="L80" s="765"/>
      <c r="M80" s="163"/>
      <c r="N80" s="163"/>
      <c r="O80" s="163"/>
      <c r="Q80" s="3"/>
      <c r="R80" s="910">
        <f t="shared" si="0"/>
        <v>0</v>
      </c>
      <c r="S80" s="913" t="str">
        <f>IF(R85=0," ",(IF(AND(R85=2)," C"," ")))</f>
        <v> C</v>
      </c>
      <c r="T80" s="912" t="str">
        <f>CONCATENATE(S78,S79,S80,S81,S82)</f>
        <v>    C  </v>
      </c>
    </row>
    <row r="81" spans="1:27" ht="16.5" customHeight="1" thickBot="1">
      <c r="A81" s="765"/>
      <c r="B81" s="652" t="str">
        <f>IF(G75="SI","3)","  ")</f>
        <v>  </v>
      </c>
      <c r="C81" s="1133" t="str">
        <f>IF(G75="SI","Aire acundicionado central u otras instalaciones especiales","  ")</f>
        <v>  </v>
      </c>
      <c r="D81" s="1134"/>
      <c r="E81" s="1134"/>
      <c r="F81" s="1134"/>
      <c r="G81" s="1134"/>
      <c r="H81" s="1134"/>
      <c r="I81" s="1134"/>
      <c r="J81" s="915" t="str">
        <f t="shared" si="1"/>
        <v>  </v>
      </c>
      <c r="K81" s="1212" t="str">
        <f>IF(G75="si",T80," ")</f>
        <v> </v>
      </c>
      <c r="L81" s="765"/>
      <c r="M81" s="163"/>
      <c r="N81" s="163"/>
      <c r="O81" s="163"/>
      <c r="R81" s="910">
        <f t="shared" si="0"/>
        <v>0</v>
      </c>
      <c r="S81" s="913" t="str">
        <f>IF(R85=0," ",(IF(AND(R85=3)," D "," ")))</f>
        <v> </v>
      </c>
      <c r="T81" s="233"/>
      <c r="U81" s="413"/>
      <c r="V81" s="413"/>
      <c r="W81" s="413"/>
      <c r="X81" s="413"/>
      <c r="Y81" s="413"/>
      <c r="Z81" s="413"/>
      <c r="AA81" s="413"/>
    </row>
    <row r="82" spans="1:27" ht="16.5" customHeight="1" thickBot="1">
      <c r="A82" s="765"/>
      <c r="B82" s="652" t="str">
        <f>IF(G75="SI","4)","  ")</f>
        <v>  </v>
      </c>
      <c r="C82" s="1133" t="str">
        <f>IF(G75="SI","Cuatro o mas baños o toilettes","  ")</f>
        <v>  </v>
      </c>
      <c r="D82" s="1134"/>
      <c r="E82" s="1134"/>
      <c r="F82" s="1134"/>
      <c r="G82" s="1134"/>
      <c r="H82" s="1134"/>
      <c r="I82" s="1134"/>
      <c r="J82" s="915" t="str">
        <f t="shared" si="1"/>
        <v>  </v>
      </c>
      <c r="K82" s="1213"/>
      <c r="L82" s="765"/>
      <c r="M82" s="163"/>
      <c r="N82" s="163"/>
      <c r="O82" s="163"/>
      <c r="R82" s="910">
        <f t="shared" si="0"/>
        <v>0</v>
      </c>
      <c r="S82" s="913" t="str">
        <f>IF(R85=0," ",(IF(AND(R85&gt;=4)," E "," ")))</f>
        <v> </v>
      </c>
      <c r="T82" s="835"/>
      <c r="V82" s="39"/>
      <c r="W82" s="39"/>
      <c r="X82" s="39"/>
      <c r="Y82" s="39"/>
      <c r="Z82" s="39"/>
      <c r="AA82" s="39"/>
    </row>
    <row r="83" spans="1:20" ht="16.5" customHeight="1" thickBot="1">
      <c r="A83" s="765"/>
      <c r="B83" s="652" t="str">
        <f>IF(G75="SI","5)","  ")</f>
        <v>  </v>
      </c>
      <c r="C83" s="1133" t="str">
        <f>IF(G75="SI","Sauna u/o piscinas con espejo de agua mayor a 30,00 m2","  ")</f>
        <v>  </v>
      </c>
      <c r="D83" s="1134"/>
      <c r="E83" s="1134"/>
      <c r="F83" s="1134"/>
      <c r="G83" s="1134"/>
      <c r="H83" s="1134"/>
      <c r="I83" s="1134"/>
      <c r="J83" s="915" t="str">
        <f t="shared" si="1"/>
        <v>  </v>
      </c>
      <c r="K83" s="1213"/>
      <c r="L83" s="765"/>
      <c r="M83" s="163"/>
      <c r="R83" s="910">
        <f>IF(J85="NO",0,IF(S85=0,2,1))</f>
        <v>2</v>
      </c>
      <c r="S83" s="453"/>
      <c r="T83" s="835"/>
    </row>
    <row r="84" spans="1:20" ht="16.5" customHeight="1" thickBot="1">
      <c r="A84" s="765"/>
      <c r="B84" s="652" t="str">
        <f>IF(G75="SI","6)","  ")</f>
        <v>  </v>
      </c>
      <c r="C84" s="1133" t="str">
        <f>IF(G75="SI","Construccion de mas de 150 m2 totales de superficie (cubierta y semicubierta)","  ")</f>
        <v>  </v>
      </c>
      <c r="D84" s="1134"/>
      <c r="E84" s="1134"/>
      <c r="F84" s="1134"/>
      <c r="G84" s="1134"/>
      <c r="H84" s="1134"/>
      <c r="I84" s="1134"/>
      <c r="J84" s="915" t="str">
        <f t="shared" si="1"/>
        <v>  </v>
      </c>
      <c r="K84" s="1213"/>
      <c r="L84" s="765"/>
      <c r="R84" s="910">
        <f>IF(J86="SI",1,0)</f>
        <v>0</v>
      </c>
      <c r="S84" s="453"/>
      <c r="T84" s="835"/>
    </row>
    <row r="85" spans="1:20" ht="16.5" customHeight="1" thickBot="1">
      <c r="A85" s="765"/>
      <c r="B85" s="652" t="str">
        <f>IF(G75="SI","7)","  ")</f>
        <v>  </v>
      </c>
      <c r="C85" s="1133" t="str">
        <f>IF(G75="SI","Ubicad en country, barrio cerrado, club de campo y otras urbanizaciones privadas.","  ")</f>
        <v>  </v>
      </c>
      <c r="D85" s="1134"/>
      <c r="E85" s="1134"/>
      <c r="F85" s="1134"/>
      <c r="G85" s="1134"/>
      <c r="H85" s="1134"/>
      <c r="I85" s="1134"/>
      <c r="J85" s="915" t="str">
        <f t="shared" si="1"/>
        <v>  </v>
      </c>
      <c r="K85" s="1213"/>
      <c r="L85" s="765"/>
      <c r="R85" s="911">
        <f>SUM(R77:R84)</f>
        <v>2</v>
      </c>
      <c r="S85" s="479"/>
      <c r="T85" s="904"/>
    </row>
    <row r="86" spans="1:12" ht="16.5" customHeight="1" thickBot="1">
      <c r="A86" s="765"/>
      <c r="B86" s="652" t="str">
        <f>IF(G75="SI","8)","  ")</f>
        <v>  </v>
      </c>
      <c r="C86" s="1133" t="str">
        <f>IF(G75="SI","Mas de tres niveles o plantas.","  ")</f>
        <v>  </v>
      </c>
      <c r="D86" s="1134"/>
      <c r="E86" s="1134"/>
      <c r="F86" s="1134"/>
      <c r="G86" s="1134"/>
      <c r="H86" s="1134"/>
      <c r="I86" s="1134"/>
      <c r="J86" s="915" t="str">
        <f t="shared" si="1"/>
        <v>  </v>
      </c>
      <c r="K86" s="1214"/>
      <c r="L86" s="765"/>
    </row>
    <row r="87" spans="1:12" ht="16.5" customHeight="1" thickBot="1">
      <c r="A87" s="765"/>
      <c r="B87" s="1216" t="str">
        <f>IF(G75="SI","Si la construccion cumple con el item de ubicación solamente (punto 7), en es caso el item se considera doble, encuadrando en categoria C","  ")</f>
        <v>  </v>
      </c>
      <c r="C87" s="1217"/>
      <c r="D87" s="1217"/>
      <c r="E87" s="1217"/>
      <c r="F87" s="1217"/>
      <c r="G87" s="1217"/>
      <c r="H87" s="1217"/>
      <c r="I87" s="1217"/>
      <c r="J87" s="1217"/>
      <c r="K87" s="1218"/>
      <c r="L87" s="765"/>
    </row>
    <row r="88" spans="1:12" ht="16.5" customHeight="1" thickBot="1">
      <c r="A88" s="765"/>
      <c r="B88" s="847"/>
      <c r="C88" s="847"/>
      <c r="D88" s="847"/>
      <c r="E88" s="847"/>
      <c r="F88" s="847"/>
      <c r="G88" s="847"/>
      <c r="H88" s="847"/>
      <c r="I88" s="847"/>
      <c r="J88" s="847"/>
      <c r="K88" s="847"/>
      <c r="L88" s="765"/>
    </row>
    <row r="89" spans="1:78" ht="24.75" customHeight="1" thickBot="1">
      <c r="A89" s="765"/>
      <c r="B89" s="1004" t="s">
        <v>337</v>
      </c>
      <c r="C89" s="1006"/>
      <c r="D89" s="1006"/>
      <c r="E89" s="1006"/>
      <c r="F89" s="1006"/>
      <c r="G89" s="1006"/>
      <c r="H89" s="1006"/>
      <c r="I89" s="1006"/>
      <c r="J89" s="1006"/>
      <c r="K89" s="1005"/>
      <c r="L89" s="765"/>
      <c r="U89" s="934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BW89" s="39"/>
      <c r="BX89" s="39"/>
      <c r="BY89" s="39"/>
      <c r="BZ89" s="39"/>
    </row>
    <row r="90" spans="1:78" ht="21" customHeight="1">
      <c r="A90" s="765"/>
      <c r="B90" s="1093" t="s">
        <v>291</v>
      </c>
      <c r="C90" s="1094"/>
      <c r="D90" s="1094"/>
      <c r="E90" s="1094"/>
      <c r="F90" s="1095"/>
      <c r="G90" s="1091" t="s">
        <v>680</v>
      </c>
      <c r="H90" s="1092"/>
      <c r="I90" s="896">
        <v>0</v>
      </c>
      <c r="J90" s="672">
        <f>VLOOKUP(B90,$C$148:$L$257,9,)</f>
        <v>0</v>
      </c>
      <c r="K90" s="673" t="str">
        <f aca="true" t="shared" si="2" ref="K90:K99">VLOOKUP(B90,$C$148:$L$257,10,)</f>
        <v> </v>
      </c>
      <c r="L90" s="765"/>
      <c r="U90" s="934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BW90" s="39"/>
      <c r="BX90" s="39"/>
      <c r="BY90" s="39"/>
      <c r="BZ90" s="39"/>
    </row>
    <row r="91" spans="1:78" ht="21" customHeight="1" thickBot="1">
      <c r="A91" s="765"/>
      <c r="B91" s="1093" t="s">
        <v>291</v>
      </c>
      <c r="C91" s="1094"/>
      <c r="D91" s="1094"/>
      <c r="E91" s="1094"/>
      <c r="F91" s="1095"/>
      <c r="G91" s="1091" t="s">
        <v>680</v>
      </c>
      <c r="H91" s="1092"/>
      <c r="I91" s="898">
        <v>0</v>
      </c>
      <c r="J91" s="655">
        <f aca="true" t="shared" si="3" ref="J91:J99">VLOOKUP(B91,$C$148:$K$257,9,)</f>
        <v>0</v>
      </c>
      <c r="K91" s="656" t="str">
        <f t="shared" si="2"/>
        <v> </v>
      </c>
      <c r="L91" s="765"/>
      <c r="N91" s="3"/>
      <c r="U91" s="934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BW91" s="39"/>
      <c r="BX91" s="39"/>
      <c r="BY91" s="957"/>
      <c r="BZ91" s="39"/>
    </row>
    <row r="92" spans="1:78" ht="21" customHeight="1">
      <c r="A92" s="765"/>
      <c r="B92" s="1093" t="s">
        <v>291</v>
      </c>
      <c r="C92" s="1094"/>
      <c r="D92" s="1094"/>
      <c r="E92" s="1094"/>
      <c r="F92" s="1095"/>
      <c r="G92" s="1091" t="s">
        <v>680</v>
      </c>
      <c r="H92" s="1092"/>
      <c r="I92" s="898">
        <v>0</v>
      </c>
      <c r="J92" s="655">
        <f t="shared" si="3"/>
        <v>0</v>
      </c>
      <c r="K92" s="656" t="str">
        <f t="shared" si="2"/>
        <v> </v>
      </c>
      <c r="L92" s="765"/>
      <c r="Q92" s="1203" t="s">
        <v>680</v>
      </c>
      <c r="R92" s="1204"/>
      <c r="U92" s="934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BW92" s="39"/>
      <c r="BX92" s="39"/>
      <c r="BY92" s="957"/>
      <c r="BZ92" s="39"/>
    </row>
    <row r="93" spans="1:78" ht="21" customHeight="1">
      <c r="A93" s="765"/>
      <c r="B93" s="1093" t="s">
        <v>291</v>
      </c>
      <c r="C93" s="1094"/>
      <c r="D93" s="1094"/>
      <c r="E93" s="1094"/>
      <c r="F93" s="1095"/>
      <c r="G93" s="1091" t="s">
        <v>680</v>
      </c>
      <c r="H93" s="1092"/>
      <c r="I93" s="898">
        <v>0</v>
      </c>
      <c r="J93" s="655">
        <f t="shared" si="3"/>
        <v>0</v>
      </c>
      <c r="K93" s="656" t="str">
        <f t="shared" si="2"/>
        <v> </v>
      </c>
      <c r="L93" s="765"/>
      <c r="Q93" s="1184" t="s">
        <v>846</v>
      </c>
      <c r="R93" s="1185"/>
      <c r="S93" s="359"/>
      <c r="U93" s="934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BW93" s="39"/>
      <c r="BX93" s="39"/>
      <c r="BY93" s="957"/>
      <c r="BZ93" s="39"/>
    </row>
    <row r="94" spans="1:78" ht="21" customHeight="1">
      <c r="A94" s="765"/>
      <c r="B94" s="1093" t="s">
        <v>291</v>
      </c>
      <c r="C94" s="1094"/>
      <c r="D94" s="1094"/>
      <c r="E94" s="1094"/>
      <c r="F94" s="1095"/>
      <c r="G94" s="1091" t="s">
        <v>680</v>
      </c>
      <c r="H94" s="1092"/>
      <c r="I94" s="898">
        <v>0</v>
      </c>
      <c r="J94" s="655">
        <f t="shared" si="3"/>
        <v>0</v>
      </c>
      <c r="K94" s="656" t="str">
        <f t="shared" si="2"/>
        <v> </v>
      </c>
      <c r="L94" s="765"/>
      <c r="Q94" s="1184" t="s">
        <v>871</v>
      </c>
      <c r="R94" s="1185"/>
      <c r="U94" s="934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BW94" s="39"/>
      <c r="BX94" s="39"/>
      <c r="BY94" s="957"/>
      <c r="BZ94" s="39"/>
    </row>
    <row r="95" spans="1:78" ht="21" customHeight="1">
      <c r="A95" s="765"/>
      <c r="B95" s="1093" t="s">
        <v>291</v>
      </c>
      <c r="C95" s="1094"/>
      <c r="D95" s="1094"/>
      <c r="E95" s="1094"/>
      <c r="F95" s="1095"/>
      <c r="G95" s="1091" t="s">
        <v>680</v>
      </c>
      <c r="H95" s="1092"/>
      <c r="I95" s="898">
        <v>0</v>
      </c>
      <c r="J95" s="655">
        <f t="shared" si="3"/>
        <v>0</v>
      </c>
      <c r="K95" s="656" t="str">
        <f t="shared" si="2"/>
        <v> </v>
      </c>
      <c r="L95" s="765"/>
      <c r="P95" s="595"/>
      <c r="Q95" s="1186" t="s">
        <v>870</v>
      </c>
      <c r="R95" s="1187"/>
      <c r="U95" s="934"/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59"/>
      <c r="BW95" s="39"/>
      <c r="BX95" s="39"/>
      <c r="BY95" s="957"/>
      <c r="BZ95" s="39"/>
    </row>
    <row r="96" spans="1:78" ht="21" customHeight="1">
      <c r="A96" s="765"/>
      <c r="B96" s="1093" t="s">
        <v>291</v>
      </c>
      <c r="C96" s="1094"/>
      <c r="D96" s="1094"/>
      <c r="E96" s="1094"/>
      <c r="F96" s="1095"/>
      <c r="G96" s="1091" t="s">
        <v>680</v>
      </c>
      <c r="H96" s="1092"/>
      <c r="I96" s="898">
        <v>0</v>
      </c>
      <c r="J96" s="655">
        <f t="shared" si="3"/>
        <v>0</v>
      </c>
      <c r="K96" s="656" t="str">
        <f t="shared" si="2"/>
        <v> </v>
      </c>
      <c r="L96" s="765"/>
      <c r="P96" s="595"/>
      <c r="Q96" s="1184" t="s">
        <v>681</v>
      </c>
      <c r="R96" s="1185"/>
      <c r="U96" s="934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BW96" s="39"/>
      <c r="BX96" s="39"/>
      <c r="BY96" s="957"/>
      <c r="BZ96" s="39"/>
    </row>
    <row r="97" spans="1:78" ht="21" customHeight="1">
      <c r="A97" s="765"/>
      <c r="B97" s="1093" t="s">
        <v>291</v>
      </c>
      <c r="C97" s="1094"/>
      <c r="D97" s="1094"/>
      <c r="E97" s="1094"/>
      <c r="F97" s="1095"/>
      <c r="G97" s="1091" t="s">
        <v>680</v>
      </c>
      <c r="H97" s="1092"/>
      <c r="I97" s="898">
        <v>0</v>
      </c>
      <c r="J97" s="655">
        <f t="shared" si="3"/>
        <v>0</v>
      </c>
      <c r="K97" s="656" t="str">
        <f t="shared" si="2"/>
        <v> </v>
      </c>
      <c r="L97" s="765"/>
      <c r="P97" s="595"/>
      <c r="Q97" s="1184" t="s">
        <v>682</v>
      </c>
      <c r="R97" s="1185"/>
      <c r="U97" s="934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BW97" s="39"/>
      <c r="BX97" s="39"/>
      <c r="BY97" s="957"/>
      <c r="BZ97" s="39"/>
    </row>
    <row r="98" spans="1:78" ht="21" customHeight="1" thickBot="1">
      <c r="A98" s="765"/>
      <c r="B98" s="1093" t="s">
        <v>291</v>
      </c>
      <c r="C98" s="1094"/>
      <c r="D98" s="1094"/>
      <c r="E98" s="1094"/>
      <c r="F98" s="1095"/>
      <c r="G98" s="1091" t="s">
        <v>680</v>
      </c>
      <c r="H98" s="1092"/>
      <c r="I98" s="898">
        <v>0</v>
      </c>
      <c r="J98" s="655">
        <f t="shared" si="3"/>
        <v>0</v>
      </c>
      <c r="K98" s="656" t="str">
        <f t="shared" si="2"/>
        <v> </v>
      </c>
      <c r="L98" s="765"/>
      <c r="P98" s="595"/>
      <c r="Q98" s="1182" t="s">
        <v>874</v>
      </c>
      <c r="R98" s="1183"/>
      <c r="U98" s="934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BW98" s="39"/>
      <c r="BX98" s="39"/>
      <c r="BY98" s="957"/>
      <c r="BZ98" s="39"/>
    </row>
    <row r="99" spans="1:78" ht="21" customHeight="1">
      <c r="A99" s="765"/>
      <c r="B99" s="1093" t="s">
        <v>291</v>
      </c>
      <c r="C99" s="1094"/>
      <c r="D99" s="1094"/>
      <c r="E99" s="1094"/>
      <c r="F99" s="1095"/>
      <c r="G99" s="1091" t="s">
        <v>680</v>
      </c>
      <c r="H99" s="1092"/>
      <c r="I99" s="897">
        <v>0</v>
      </c>
      <c r="J99" s="655">
        <f t="shared" si="3"/>
        <v>0</v>
      </c>
      <c r="K99" s="656" t="str">
        <f t="shared" si="2"/>
        <v> </v>
      </c>
      <c r="L99" s="765"/>
      <c r="P99" s="595"/>
      <c r="U99" s="934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BW99" s="39"/>
      <c r="BX99" s="39"/>
      <c r="BY99" s="957"/>
      <c r="BZ99" s="39"/>
    </row>
    <row r="100" spans="1:78" ht="21" customHeight="1">
      <c r="A100" s="765"/>
      <c r="B100" s="1100" t="s">
        <v>686</v>
      </c>
      <c r="C100" s="1101"/>
      <c r="D100" s="1101"/>
      <c r="E100" s="1101"/>
      <c r="F100" s="1102"/>
      <c r="G100" s="1215" t="s">
        <v>810</v>
      </c>
      <c r="H100" s="1099"/>
      <c r="I100" s="654">
        <v>0</v>
      </c>
      <c r="J100" s="767"/>
      <c r="K100" s="768"/>
      <c r="L100" s="765"/>
      <c r="P100" s="595"/>
      <c r="U100" s="934"/>
      <c r="V100" s="39"/>
      <c r="W100" s="247"/>
      <c r="X100" s="247"/>
      <c r="Y100" s="39"/>
      <c r="Z100" s="39"/>
      <c r="AA100" s="39"/>
      <c r="AB100" s="39"/>
      <c r="AC100" s="39"/>
      <c r="AD100" s="39"/>
      <c r="AE100" s="39"/>
      <c r="AF100" s="39"/>
      <c r="AG100" s="39"/>
      <c r="BW100" s="39"/>
      <c r="BX100" s="39"/>
      <c r="BY100" s="39"/>
      <c r="BZ100" s="39"/>
    </row>
    <row r="101" spans="1:78" ht="21" customHeight="1">
      <c r="A101" s="765"/>
      <c r="B101" s="1100" t="s">
        <v>685</v>
      </c>
      <c r="C101" s="1101"/>
      <c r="D101" s="1101"/>
      <c r="E101" s="1101"/>
      <c r="F101" s="1102"/>
      <c r="G101" s="1215" t="s">
        <v>810</v>
      </c>
      <c r="H101" s="1099"/>
      <c r="I101" s="654">
        <v>0</v>
      </c>
      <c r="J101" s="657"/>
      <c r="K101" s="656"/>
      <c r="L101" s="765"/>
      <c r="O101" s="514"/>
      <c r="P101" s="595"/>
      <c r="V101" s="247"/>
      <c r="W101" s="247"/>
      <c r="X101" s="247"/>
      <c r="BW101" s="39"/>
      <c r="BX101" s="39"/>
      <c r="BY101" s="39"/>
      <c r="BZ101" s="39"/>
    </row>
    <row r="102" spans="1:78" ht="21" customHeight="1" thickBot="1">
      <c r="A102" s="765"/>
      <c r="B102" s="1208" t="str">
        <f>IF($G$73&gt;=15%,"Proyecto y Direccion de los M2 Faltantes en la Medicion","  ")</f>
        <v>  </v>
      </c>
      <c r="C102" s="1209"/>
      <c r="D102" s="1209"/>
      <c r="E102" s="917" t="str">
        <f>IF($G$73&gt;=15%,'PLANILLA DE CALCULOS '!$J$41,"  ")</f>
        <v>  </v>
      </c>
      <c r="F102" s="770" t="str">
        <f>IF($G$73&gt;=15%,'ACTA ESTADO DE OBRA'!$H$45,"  ")</f>
        <v>  </v>
      </c>
      <c r="G102" s="1128" t="str">
        <f>IF($G$73&gt;=15%,"M2 Cub.-S/Cub.","  ")</f>
        <v>  </v>
      </c>
      <c r="H102" s="1129"/>
      <c r="I102" s="918" t="str">
        <f>IF($G$73&gt;=15%,(+I106+I107+I108+I110+I111+I112+I113+I105),"  ")</f>
        <v>  </v>
      </c>
      <c r="J102" s="919"/>
      <c r="K102" s="902"/>
      <c r="L102" s="765"/>
      <c r="O102" s="514"/>
      <c r="P102" s="595"/>
      <c r="U102" s="84" t="s">
        <v>847</v>
      </c>
      <c r="V102" s="247"/>
      <c r="W102" s="247"/>
      <c r="X102" s="247"/>
      <c r="BW102" s="39"/>
      <c r="BX102" s="39"/>
      <c r="BY102" s="39"/>
      <c r="BZ102" s="39"/>
    </row>
    <row r="103" spans="1:78" ht="11.25" customHeight="1" thickBot="1">
      <c r="A103" s="765"/>
      <c r="B103" s="764"/>
      <c r="C103" s="764"/>
      <c r="D103" s="764"/>
      <c r="E103" s="764"/>
      <c r="F103" s="764"/>
      <c r="G103" s="764"/>
      <c r="H103" s="764"/>
      <c r="I103" s="764"/>
      <c r="J103" s="764"/>
      <c r="K103" s="764"/>
      <c r="L103" s="765"/>
      <c r="M103" s="514"/>
      <c r="N103" s="514"/>
      <c r="O103" s="514"/>
      <c r="U103" s="84"/>
      <c r="V103" s="247"/>
      <c r="W103" s="247"/>
      <c r="X103" s="247"/>
      <c r="BW103" s="39"/>
      <c r="BX103" s="39"/>
      <c r="BY103" s="39"/>
      <c r="BZ103" s="39"/>
    </row>
    <row r="104" spans="1:78" s="514" customFormat="1" ht="35.25" customHeight="1" thickBot="1">
      <c r="A104" s="765"/>
      <c r="B104" s="1004" t="s">
        <v>615</v>
      </c>
      <c r="C104" s="1006"/>
      <c r="D104" s="1006"/>
      <c r="E104" s="1006"/>
      <c r="F104" s="1006"/>
      <c r="G104" s="1006"/>
      <c r="H104" s="1006"/>
      <c r="I104" s="1006"/>
      <c r="J104" s="1006"/>
      <c r="K104" s="1005"/>
      <c r="L104" s="765"/>
      <c r="N104" s="632"/>
      <c r="P104" s="538"/>
      <c r="T104"/>
      <c r="BW104" s="935"/>
      <c r="BX104" s="935"/>
      <c r="BY104" s="935"/>
      <c r="BZ104" s="935"/>
    </row>
    <row r="105" spans="1:78" s="514" customFormat="1" ht="24" customHeight="1">
      <c r="A105" s="765"/>
      <c r="B105" s="1093" t="s">
        <v>291</v>
      </c>
      <c r="C105" s="1094"/>
      <c r="D105" s="1094"/>
      <c r="E105" s="1094"/>
      <c r="F105" s="1095"/>
      <c r="G105" s="1091" t="s">
        <v>680</v>
      </c>
      <c r="H105" s="1092"/>
      <c r="I105" s="674">
        <v>0</v>
      </c>
      <c r="J105" s="675">
        <f aca="true" t="shared" si="4" ref="J105:J113">VLOOKUP(B105,$C$148:$L$257,9,)</f>
        <v>0</v>
      </c>
      <c r="K105" s="676" t="str">
        <f aca="true" t="shared" si="5" ref="K105:K113">VLOOKUP(B105,$C$148:$L$257,10,)</f>
        <v> </v>
      </c>
      <c r="L105" s="765"/>
      <c r="P105" s="538"/>
      <c r="BW105" s="935"/>
      <c r="BX105" s="935"/>
      <c r="BY105" s="957"/>
      <c r="BZ105" s="935"/>
    </row>
    <row r="106" spans="1:78" s="514" customFormat="1" ht="21" customHeight="1">
      <c r="A106" s="765"/>
      <c r="B106" s="1093" t="s">
        <v>291</v>
      </c>
      <c r="C106" s="1094"/>
      <c r="D106" s="1094"/>
      <c r="E106" s="1094"/>
      <c r="F106" s="1095"/>
      <c r="G106" s="1091" t="s">
        <v>680</v>
      </c>
      <c r="H106" s="1092"/>
      <c r="I106" s="653">
        <v>0</v>
      </c>
      <c r="J106" s="659">
        <f t="shared" si="4"/>
        <v>0</v>
      </c>
      <c r="K106" s="660" t="str">
        <f t="shared" si="5"/>
        <v> </v>
      </c>
      <c r="L106" s="765"/>
      <c r="P106" s="538"/>
      <c r="U106" s="934"/>
      <c r="V106" s="935"/>
      <c r="W106" s="935"/>
      <c r="X106" s="935"/>
      <c r="Y106" s="935"/>
      <c r="Z106" s="935"/>
      <c r="AA106" s="935"/>
      <c r="AB106" s="935"/>
      <c r="AC106" s="935"/>
      <c r="AD106" s="935"/>
      <c r="AE106" s="935"/>
      <c r="AF106" s="935"/>
      <c r="AG106" s="935"/>
      <c r="BW106" s="935"/>
      <c r="BX106" s="935"/>
      <c r="BY106" s="957"/>
      <c r="BZ106" s="935"/>
    </row>
    <row r="107" spans="1:78" s="514" customFormat="1" ht="21" customHeight="1">
      <c r="A107" s="765"/>
      <c r="B107" s="1093" t="s">
        <v>291</v>
      </c>
      <c r="C107" s="1094"/>
      <c r="D107" s="1094"/>
      <c r="E107" s="1094"/>
      <c r="F107" s="1095"/>
      <c r="G107" s="1091" t="s">
        <v>680</v>
      </c>
      <c r="H107" s="1092"/>
      <c r="I107" s="653">
        <v>0</v>
      </c>
      <c r="J107" s="659">
        <f t="shared" si="4"/>
        <v>0</v>
      </c>
      <c r="K107" s="660" t="str">
        <f t="shared" si="5"/>
        <v> </v>
      </c>
      <c r="L107" s="765"/>
      <c r="N107" s="514" t="s">
        <v>8</v>
      </c>
      <c r="O107"/>
      <c r="P107" s="538"/>
      <c r="U107" s="934"/>
      <c r="V107" s="935"/>
      <c r="W107" s="935"/>
      <c r="X107" s="935"/>
      <c r="Y107" s="935"/>
      <c r="Z107" s="935"/>
      <c r="AA107" s="935"/>
      <c r="AB107" s="935"/>
      <c r="AC107" s="935"/>
      <c r="AD107" s="935"/>
      <c r="AE107" s="935"/>
      <c r="AF107" s="935"/>
      <c r="AG107" s="935"/>
      <c r="BW107" s="935"/>
      <c r="BX107" s="935"/>
      <c r="BY107" s="957"/>
      <c r="BZ107" s="935"/>
    </row>
    <row r="108" spans="1:110" s="514" customFormat="1" ht="21" customHeight="1">
      <c r="A108" s="765"/>
      <c r="B108" s="1093" t="s">
        <v>291</v>
      </c>
      <c r="C108" s="1094"/>
      <c r="D108" s="1094"/>
      <c r="E108" s="1094"/>
      <c r="F108" s="1095"/>
      <c r="G108" s="1091" t="s">
        <v>680</v>
      </c>
      <c r="H108" s="1092"/>
      <c r="I108" s="805">
        <v>0</v>
      </c>
      <c r="J108" s="659">
        <f t="shared" si="4"/>
        <v>0</v>
      </c>
      <c r="K108" s="660" t="str">
        <f t="shared" si="5"/>
        <v> </v>
      </c>
      <c r="L108" s="765"/>
      <c r="O108"/>
      <c r="P108" s="538"/>
      <c r="R108"/>
      <c r="U108" s="934"/>
      <c r="V108" s="935"/>
      <c r="W108" s="935"/>
      <c r="X108" s="935"/>
      <c r="Y108" s="935"/>
      <c r="Z108" s="935"/>
      <c r="AA108" s="935"/>
      <c r="AB108" s="935"/>
      <c r="AC108" s="935"/>
      <c r="AD108" s="935"/>
      <c r="AE108" s="935"/>
      <c r="AF108" s="935"/>
      <c r="AG108" s="935"/>
      <c r="BD108" s="629"/>
      <c r="BE108" s="629"/>
      <c r="BF108" s="629"/>
      <c r="BG108" s="629"/>
      <c r="BH108" s="629"/>
      <c r="BI108" s="629"/>
      <c r="BJ108" s="629"/>
      <c r="BK108" s="629"/>
      <c r="BL108" s="629"/>
      <c r="BM108" s="629"/>
      <c r="BN108" s="629"/>
      <c r="BO108" s="629"/>
      <c r="BP108" s="629"/>
      <c r="BQ108" s="629"/>
      <c r="BR108" s="629"/>
      <c r="BS108" s="629"/>
      <c r="BT108" s="629"/>
      <c r="BU108" s="629"/>
      <c r="BV108" s="629"/>
      <c r="BW108" s="935"/>
      <c r="BX108" s="935"/>
      <c r="BY108" s="957"/>
      <c r="BZ108" s="935"/>
      <c r="CA108" s="629"/>
      <c r="CB108" s="629"/>
      <c r="CC108" s="629"/>
      <c r="CD108" s="629"/>
      <c r="CE108" s="629"/>
      <c r="CF108" s="629"/>
      <c r="CG108" s="629"/>
      <c r="CH108" s="629"/>
      <c r="CI108" s="629"/>
      <c r="CJ108" s="629"/>
      <c r="CK108" s="629"/>
      <c r="CL108" s="629"/>
      <c r="CM108" s="629"/>
      <c r="CN108" s="629"/>
      <c r="CO108" s="629"/>
      <c r="CP108" s="629"/>
      <c r="CQ108" s="629"/>
      <c r="CR108" s="629"/>
      <c r="CS108" s="629"/>
      <c r="CT108" s="629"/>
      <c r="CU108" s="629"/>
      <c r="CV108" s="629"/>
      <c r="CW108" s="629"/>
      <c r="CX108" s="629"/>
      <c r="CY108" s="629"/>
      <c r="CZ108" s="629"/>
      <c r="DA108" s="629"/>
      <c r="DB108" s="629"/>
      <c r="DC108" s="629"/>
      <c r="DD108" s="629"/>
      <c r="DE108" s="629"/>
      <c r="DF108" s="629"/>
    </row>
    <row r="109" spans="1:110" s="514" customFormat="1" ht="21" customHeight="1">
      <c r="A109" s="765"/>
      <c r="B109" s="1093" t="s">
        <v>291</v>
      </c>
      <c r="C109" s="1094"/>
      <c r="D109" s="1094"/>
      <c r="E109" s="1094"/>
      <c r="F109" s="1095"/>
      <c r="G109" s="1091" t="s">
        <v>680</v>
      </c>
      <c r="H109" s="1092"/>
      <c r="I109" s="653">
        <v>0</v>
      </c>
      <c r="J109" s="659">
        <f t="shared" si="4"/>
        <v>0</v>
      </c>
      <c r="K109" s="660" t="str">
        <f t="shared" si="5"/>
        <v> </v>
      </c>
      <c r="L109" s="765"/>
      <c r="M109"/>
      <c r="N109"/>
      <c r="O109"/>
      <c r="P109" s="538"/>
      <c r="R109"/>
      <c r="U109" s="934"/>
      <c r="V109" s="935"/>
      <c r="W109" s="935"/>
      <c r="X109" s="935"/>
      <c r="Y109" s="935"/>
      <c r="Z109" s="935"/>
      <c r="AA109" s="935"/>
      <c r="AB109" s="935"/>
      <c r="AC109" s="935"/>
      <c r="AD109" s="935"/>
      <c r="AE109" s="935"/>
      <c r="AF109" s="935"/>
      <c r="AG109" s="935"/>
      <c r="BD109" s="629"/>
      <c r="BE109" s="629"/>
      <c r="BF109" s="629"/>
      <c r="BG109" s="629"/>
      <c r="BH109" s="629"/>
      <c r="BI109" s="629"/>
      <c r="BJ109" s="629"/>
      <c r="BK109" s="629"/>
      <c r="BL109" s="629"/>
      <c r="BM109" s="629"/>
      <c r="BN109" s="629"/>
      <c r="BO109" s="629"/>
      <c r="BP109" s="629"/>
      <c r="BQ109" s="629"/>
      <c r="BR109" s="629"/>
      <c r="BS109" s="629"/>
      <c r="BT109" s="629"/>
      <c r="BU109" s="629"/>
      <c r="BV109" s="629"/>
      <c r="BW109" s="935"/>
      <c r="BX109" s="935"/>
      <c r="BY109" s="957"/>
      <c r="BZ109" s="935"/>
      <c r="CA109" s="629"/>
      <c r="CB109" s="629"/>
      <c r="CC109" s="629"/>
      <c r="CD109" s="629"/>
      <c r="CE109" s="629"/>
      <c r="CF109" s="629"/>
      <c r="CG109" s="629"/>
      <c r="CH109" s="629"/>
      <c r="CI109" s="629"/>
      <c r="CJ109" s="629"/>
      <c r="CK109" s="629"/>
      <c r="CL109" s="629"/>
      <c r="CM109" s="629"/>
      <c r="CN109" s="629"/>
      <c r="CO109" s="629"/>
      <c r="CP109" s="629"/>
      <c r="CQ109" s="629"/>
      <c r="CR109" s="629"/>
      <c r="CS109" s="629"/>
      <c r="CT109" s="629"/>
      <c r="CU109" s="629"/>
      <c r="CV109" s="629"/>
      <c r="CW109" s="629"/>
      <c r="CX109" s="629"/>
      <c r="CY109" s="629"/>
      <c r="CZ109" s="629"/>
      <c r="DA109" s="629"/>
      <c r="DB109" s="629"/>
      <c r="DC109" s="629"/>
      <c r="DD109" s="629"/>
      <c r="DE109" s="629"/>
      <c r="DF109" s="629"/>
    </row>
    <row r="110" spans="1:110" ht="21" customHeight="1">
      <c r="A110" s="765"/>
      <c r="B110" s="1093" t="s">
        <v>291</v>
      </c>
      <c r="C110" s="1094"/>
      <c r="D110" s="1094"/>
      <c r="E110" s="1094"/>
      <c r="F110" s="1095"/>
      <c r="G110" s="1091" t="s">
        <v>680</v>
      </c>
      <c r="H110" s="1092"/>
      <c r="I110" s="653">
        <v>0</v>
      </c>
      <c r="J110" s="659">
        <f t="shared" si="4"/>
        <v>0</v>
      </c>
      <c r="K110" s="660" t="str">
        <f t="shared" si="5"/>
        <v> </v>
      </c>
      <c r="L110" s="765"/>
      <c r="U110" s="934"/>
      <c r="V110" s="935"/>
      <c r="W110" s="935"/>
      <c r="X110" s="935"/>
      <c r="Y110" s="39"/>
      <c r="Z110" s="39"/>
      <c r="AA110" s="39"/>
      <c r="AB110" s="39"/>
      <c r="AC110" s="39"/>
      <c r="AD110" s="39"/>
      <c r="AE110" s="39"/>
      <c r="AF110" s="39"/>
      <c r="AG110" s="39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9"/>
      <c r="BX110" s="39"/>
      <c r="BY110" s="957"/>
      <c r="BZ110" s="39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</row>
    <row r="111" spans="1:110" ht="21" customHeight="1">
      <c r="A111" s="765"/>
      <c r="B111" s="1093" t="s">
        <v>291</v>
      </c>
      <c r="C111" s="1094"/>
      <c r="D111" s="1094"/>
      <c r="E111" s="1094"/>
      <c r="F111" s="1095"/>
      <c r="G111" s="1091" t="s">
        <v>680</v>
      </c>
      <c r="H111" s="1092"/>
      <c r="I111" s="754">
        <v>0</v>
      </c>
      <c r="J111" s="661">
        <f t="shared" si="4"/>
        <v>0</v>
      </c>
      <c r="K111" s="660" t="str">
        <f t="shared" si="5"/>
        <v> </v>
      </c>
      <c r="L111" s="765"/>
      <c r="U111" s="934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9"/>
      <c r="BX111" s="39"/>
      <c r="BY111" s="957"/>
      <c r="BZ111" s="39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</row>
    <row r="112" spans="1:110" ht="21" customHeight="1">
      <c r="A112" s="765"/>
      <c r="B112" s="1093" t="s">
        <v>291</v>
      </c>
      <c r="C112" s="1094"/>
      <c r="D112" s="1094"/>
      <c r="E112" s="1094"/>
      <c r="F112" s="1095"/>
      <c r="G112" s="1091" t="s">
        <v>680</v>
      </c>
      <c r="H112" s="1092"/>
      <c r="I112" s="653">
        <v>0</v>
      </c>
      <c r="J112" s="661">
        <f t="shared" si="4"/>
        <v>0</v>
      </c>
      <c r="K112" s="660" t="str">
        <f t="shared" si="5"/>
        <v> </v>
      </c>
      <c r="L112" s="765"/>
      <c r="U112" s="934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9"/>
      <c r="BX112" s="39"/>
      <c r="BY112" s="957"/>
      <c r="BZ112" s="39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</row>
    <row r="113" spans="1:110" ht="21" customHeight="1">
      <c r="A113" s="765"/>
      <c r="B113" s="1093" t="s">
        <v>291</v>
      </c>
      <c r="C113" s="1094"/>
      <c r="D113" s="1094"/>
      <c r="E113" s="1094"/>
      <c r="F113" s="1095"/>
      <c r="G113" s="1091" t="s">
        <v>680</v>
      </c>
      <c r="H113" s="1092"/>
      <c r="I113" s="653">
        <v>0</v>
      </c>
      <c r="J113" s="661">
        <f t="shared" si="4"/>
        <v>0</v>
      </c>
      <c r="K113" s="656" t="str">
        <f t="shared" si="5"/>
        <v> </v>
      </c>
      <c r="L113" s="765"/>
      <c r="O113" s="3"/>
      <c r="P113" s="636"/>
      <c r="U113" s="934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9"/>
      <c r="BX113" s="39"/>
      <c r="BY113" s="39"/>
      <c r="BZ113" s="39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</row>
    <row r="114" spans="1:110" ht="21" customHeight="1">
      <c r="A114" s="765"/>
      <c r="B114" s="1100" t="s">
        <v>684</v>
      </c>
      <c r="C114" s="1101"/>
      <c r="D114" s="1101"/>
      <c r="E114" s="1101"/>
      <c r="F114" s="1102"/>
      <c r="G114" s="1098" t="s">
        <v>810</v>
      </c>
      <c r="H114" s="1099"/>
      <c r="I114" s="664">
        <v>0</v>
      </c>
      <c r="J114" s="662"/>
      <c r="K114" s="656"/>
      <c r="L114" s="765"/>
      <c r="M114" s="3"/>
      <c r="U114" s="934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</row>
    <row r="115" spans="1:110" ht="21" customHeight="1" thickBot="1">
      <c r="A115" s="765"/>
      <c r="B115" s="1103" t="s">
        <v>685</v>
      </c>
      <c r="C115" s="1104"/>
      <c r="D115" s="1104"/>
      <c r="E115" s="1104"/>
      <c r="F115" s="1105"/>
      <c r="G115" s="1096" t="s">
        <v>810</v>
      </c>
      <c r="H115" s="1097"/>
      <c r="I115" s="665">
        <v>0</v>
      </c>
      <c r="J115" s="663"/>
      <c r="K115" s="658"/>
      <c r="L115" s="765"/>
      <c r="N115" s="3"/>
      <c r="O115" s="3"/>
      <c r="U115" s="934"/>
      <c r="V115" s="39"/>
      <c r="W115" s="247"/>
      <c r="X115" s="247"/>
      <c r="Y115" s="39"/>
      <c r="Z115" s="39"/>
      <c r="AA115" s="39"/>
      <c r="AB115" s="39"/>
      <c r="AC115" s="39"/>
      <c r="AD115" s="39"/>
      <c r="AE115" s="39"/>
      <c r="AF115" s="39"/>
      <c r="AG115" s="39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</row>
    <row r="116" spans="1:110" ht="11.25" customHeight="1" thickBot="1">
      <c r="A116" s="765"/>
      <c r="B116" s="1109"/>
      <c r="C116" s="1109"/>
      <c r="D116" s="1109"/>
      <c r="E116" s="1109"/>
      <c r="F116" s="1109"/>
      <c r="G116" s="1109"/>
      <c r="H116" s="1110"/>
      <c r="I116" s="1110"/>
      <c r="J116" s="1110"/>
      <c r="K116" s="1110"/>
      <c r="L116" s="765"/>
      <c r="M116" s="3"/>
      <c r="O116" s="343"/>
      <c r="P116" s="779"/>
      <c r="U116" s="934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</row>
    <row r="117" spans="1:110" ht="23.25" customHeight="1" thickBot="1">
      <c r="A117" s="765"/>
      <c r="B117" s="1004" t="s">
        <v>878</v>
      </c>
      <c r="C117" s="1006"/>
      <c r="D117" s="1006"/>
      <c r="E117" s="1006"/>
      <c r="F117" s="1006"/>
      <c r="G117" s="1005"/>
      <c r="H117" s="941"/>
      <c r="I117" s="941"/>
      <c r="J117" s="941"/>
      <c r="K117" s="941"/>
      <c r="L117" s="765"/>
      <c r="M117" s="3"/>
      <c r="N117" s="3"/>
      <c r="O117" s="343"/>
      <c r="P117" s="779"/>
      <c r="Q117" s="778"/>
      <c r="R117" s="946"/>
      <c r="S117" s="946"/>
      <c r="T117" s="946"/>
      <c r="U117" s="946"/>
      <c r="V117" s="946"/>
      <c r="W117" s="946"/>
      <c r="X117" s="946"/>
      <c r="Y117" s="947"/>
      <c r="Z117" s="947"/>
      <c r="AA117" s="947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</row>
    <row r="118" spans="1:110" ht="26.25" customHeight="1" thickBot="1">
      <c r="A118" s="777"/>
      <c r="B118" s="992" t="s">
        <v>683</v>
      </c>
      <c r="C118" s="993"/>
      <c r="D118" s="993"/>
      <c r="E118" s="993"/>
      <c r="F118" s="994">
        <v>0</v>
      </c>
      <c r="G118" s="995"/>
      <c r="H118" s="942"/>
      <c r="I118" s="943"/>
      <c r="J118" s="944"/>
      <c r="K118" s="944"/>
      <c r="L118" s="765"/>
      <c r="M118" s="778"/>
      <c r="N118" s="343"/>
      <c r="Q118" s="343"/>
      <c r="R118" s="948"/>
      <c r="S118" s="948"/>
      <c r="T118" s="948"/>
      <c r="U118" s="948"/>
      <c r="V118" s="948"/>
      <c r="W118" s="948"/>
      <c r="X118" s="948"/>
      <c r="Y118" s="948"/>
      <c r="Z118" s="948"/>
      <c r="AA118" s="948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</row>
    <row r="119" spans="1:27" s="778" customFormat="1" ht="18.75" customHeight="1">
      <c r="A119" s="777"/>
      <c r="B119" s="939"/>
      <c r="C119" s="939"/>
      <c r="D119" s="939"/>
      <c r="E119" s="939"/>
      <c r="F119" s="939"/>
      <c r="G119" s="939"/>
      <c r="H119" s="939"/>
      <c r="I119" s="940"/>
      <c r="J119" s="940"/>
      <c r="K119" s="940"/>
      <c r="L119" s="765"/>
      <c r="N119" s="343"/>
      <c r="O119"/>
      <c r="P119" s="538"/>
      <c r="Q119" s="3"/>
      <c r="R119" s="949"/>
      <c r="S119" s="949"/>
      <c r="T119" s="949"/>
      <c r="U119" s="949"/>
      <c r="V119" s="949"/>
      <c r="W119" s="949"/>
      <c r="X119" s="949"/>
      <c r="Y119" s="950"/>
      <c r="Z119" s="950"/>
      <c r="AA119" s="950"/>
    </row>
    <row r="120" spans="1:110" s="343" customFormat="1" ht="9.75" customHeight="1" thickBot="1">
      <c r="A120" s="777"/>
      <c r="B120" s="939"/>
      <c r="C120" s="939"/>
      <c r="D120" s="939"/>
      <c r="E120" s="939"/>
      <c r="F120" s="939"/>
      <c r="G120" s="939"/>
      <c r="H120" s="939"/>
      <c r="I120" s="940"/>
      <c r="J120" s="940"/>
      <c r="K120" s="940"/>
      <c r="L120" s="765"/>
      <c r="M120" s="778"/>
      <c r="O120"/>
      <c r="P120" s="538"/>
      <c r="Q120" s="3"/>
      <c r="R120" s="951"/>
      <c r="S120" s="951"/>
      <c r="T120" s="951"/>
      <c r="U120" s="951"/>
      <c r="V120" s="951"/>
      <c r="W120" s="951"/>
      <c r="X120" s="951"/>
      <c r="Y120" s="951"/>
      <c r="Z120" s="951"/>
      <c r="AA120" s="951"/>
      <c r="AC120" s="778"/>
      <c r="AD120" s="778"/>
      <c r="AE120" s="778"/>
      <c r="AF120" s="778"/>
      <c r="AG120" s="778"/>
      <c r="AH120" s="778"/>
      <c r="AI120" s="778"/>
      <c r="AJ120" s="778"/>
      <c r="AK120" s="778"/>
      <c r="AL120" s="778"/>
      <c r="AM120" s="778"/>
      <c r="AN120" s="778"/>
      <c r="AO120" s="778"/>
      <c r="AP120" s="778"/>
      <c r="AQ120" s="778"/>
      <c r="AR120" s="778"/>
      <c r="AS120" s="778"/>
      <c r="BD120" s="778"/>
      <c r="BE120" s="778"/>
      <c r="BF120" s="778"/>
      <c r="BG120" s="778"/>
      <c r="BH120" s="778"/>
      <c r="BI120" s="778"/>
      <c r="BJ120" s="778"/>
      <c r="BK120" s="778"/>
      <c r="BL120" s="778"/>
      <c r="BM120" s="778"/>
      <c r="BN120" s="778"/>
      <c r="BO120" s="778"/>
      <c r="BP120" s="778"/>
      <c r="BQ120" s="778"/>
      <c r="BR120" s="778"/>
      <c r="BS120" s="778"/>
      <c r="BT120" s="778"/>
      <c r="BU120" s="778"/>
      <c r="BV120" s="778"/>
      <c r="BW120" s="778"/>
      <c r="BX120" s="778"/>
      <c r="BY120" s="778"/>
      <c r="BZ120" s="778"/>
      <c r="CA120" s="778"/>
      <c r="CB120" s="778"/>
      <c r="CC120" s="778"/>
      <c r="CD120" s="778"/>
      <c r="CE120" s="778"/>
      <c r="CF120" s="778"/>
      <c r="CG120" s="778"/>
      <c r="CH120" s="778"/>
      <c r="CI120" s="778"/>
      <c r="CJ120" s="778"/>
      <c r="CK120" s="778"/>
      <c r="CL120" s="778"/>
      <c r="CM120" s="778"/>
      <c r="CN120" s="778"/>
      <c r="CO120" s="778"/>
      <c r="CP120" s="778"/>
      <c r="CQ120" s="778"/>
      <c r="CR120" s="778"/>
      <c r="CS120" s="778"/>
      <c r="CT120" s="778"/>
      <c r="CU120" s="778"/>
      <c r="CV120" s="778"/>
      <c r="CW120" s="778"/>
      <c r="CX120" s="778"/>
      <c r="CY120" s="778"/>
      <c r="CZ120" s="778"/>
      <c r="DA120" s="778"/>
      <c r="DB120" s="778"/>
      <c r="DC120" s="778"/>
      <c r="DD120" s="778"/>
      <c r="DE120" s="778"/>
      <c r="DF120" s="778"/>
    </row>
    <row r="121" spans="1:27" s="3" customFormat="1" ht="23.25" customHeight="1" thickBot="1">
      <c r="A121" s="777"/>
      <c r="B121" s="1007" t="s">
        <v>683</v>
      </c>
      <c r="C121" s="1008"/>
      <c r="D121" s="1008"/>
      <c r="E121" s="1008"/>
      <c r="F121" s="1008"/>
      <c r="G121" s="1008"/>
      <c r="H121" s="1009"/>
      <c r="I121" s="1010">
        <f>'PLANILLA DE CALCULOS '!J41+'PLANILLA DE CALCULOS '!$J$27</f>
        <v>0</v>
      </c>
      <c r="J121" s="1011"/>
      <c r="K121" s="1012"/>
      <c r="L121" s="765"/>
      <c r="M121" s="343"/>
      <c r="N121" s="343"/>
      <c r="O121"/>
      <c r="P121" s="538"/>
      <c r="R121" s="949"/>
      <c r="S121" s="949"/>
      <c r="T121" s="949"/>
      <c r="U121" s="949"/>
      <c r="V121" s="949"/>
      <c r="W121" s="949"/>
      <c r="X121" s="949"/>
      <c r="Y121" s="952"/>
      <c r="Z121" s="952"/>
      <c r="AA121" s="952"/>
    </row>
    <row r="122" spans="1:27" s="3" customFormat="1" ht="30.75" customHeight="1" thickBot="1">
      <c r="A122" s="765"/>
      <c r="B122" s="998" t="s">
        <v>877</v>
      </c>
      <c r="C122" s="999"/>
      <c r="D122" s="999"/>
      <c r="E122" s="999"/>
      <c r="F122" s="999"/>
      <c r="G122" s="999"/>
      <c r="H122" s="1000"/>
      <c r="I122" s="1054" t="str">
        <f>IF(S46&lt;4,"ERROR",ROUNDUP('PLANILLA DE CALCULOS '!K178,0))</f>
        <v>ERROR</v>
      </c>
      <c r="J122" s="1055"/>
      <c r="K122" s="1056"/>
      <c r="L122" s="777"/>
      <c r="M122"/>
      <c r="N122"/>
      <c r="O122"/>
      <c r="P122" s="538"/>
      <c r="R122" s="945"/>
      <c r="S122" s="953"/>
      <c r="T122" s="953"/>
      <c r="U122" s="953"/>
      <c r="V122" s="953"/>
      <c r="W122" s="953"/>
      <c r="X122" s="953"/>
      <c r="Y122" s="954"/>
      <c r="Z122" s="954"/>
      <c r="AA122" s="954"/>
    </row>
    <row r="123" spans="1:27" s="3" customFormat="1" ht="15" customHeight="1" thickBot="1">
      <c r="A123" s="765"/>
      <c r="B123" s="1108"/>
      <c r="C123" s="1108"/>
      <c r="D123" s="1108"/>
      <c r="E123" s="1108"/>
      <c r="F123" s="1108"/>
      <c r="G123" s="1108"/>
      <c r="H123" s="1108"/>
      <c r="I123" s="1108"/>
      <c r="J123" s="1108"/>
      <c r="K123" s="1108"/>
      <c r="L123" s="777"/>
      <c r="M123"/>
      <c r="N123"/>
      <c r="O123"/>
      <c r="P123" s="538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</row>
    <row r="124" spans="1:45" ht="27.75" customHeight="1" thickBot="1">
      <c r="A124" s="765"/>
      <c r="B124" s="989" t="str">
        <f>IF(G41="AMPLIATORIO"," CONTRATO ORIGINAL  ACTUALIZADO","  ")</f>
        <v>  </v>
      </c>
      <c r="C124" s="990"/>
      <c r="D124" s="990"/>
      <c r="E124" s="990"/>
      <c r="F124" s="990"/>
      <c r="G124" s="990"/>
      <c r="H124" s="991"/>
      <c r="I124" s="1063" t="str">
        <f>IF(G41="AMPLIATORIO",R38,"  ")</f>
        <v>  </v>
      </c>
      <c r="J124" s="1064"/>
      <c r="K124" s="1065"/>
      <c r="L124" s="765"/>
      <c r="R124" s="983" t="s">
        <v>879</v>
      </c>
      <c r="S124" s="984"/>
      <c r="T124" s="985"/>
      <c r="U124" s="956"/>
      <c r="V124" s="956"/>
      <c r="W124" s="956"/>
      <c r="X124" s="956"/>
      <c r="Y124" s="956"/>
      <c r="Z124" s="956"/>
      <c r="AA124" s="956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2" s="3" customFormat="1" ht="43.5" customHeight="1" thickBot="1">
      <c r="A125" s="765"/>
      <c r="B125" s="666">
        <v>0</v>
      </c>
      <c r="C125" s="989" t="str">
        <f>IF(G41="AMPLIATORIO","HONORARIO DEL CONTRATO AMPLIATORIO (H)"," HONORARIO CONVENIDO (H)")</f>
        <v> HONORARIO CONVENIDO (H)</v>
      </c>
      <c r="D125" s="990"/>
      <c r="E125" s="990"/>
      <c r="F125" s="990"/>
      <c r="G125" s="990"/>
      <c r="H125" s="991"/>
      <c r="I125" s="1057" t="str">
        <f>IF(B125&gt;=R125,B125,R125)</f>
        <v>ERROR</v>
      </c>
      <c r="J125" s="1058"/>
      <c r="K125" s="1059"/>
      <c r="L125" s="765"/>
      <c r="M125"/>
      <c r="N125"/>
      <c r="O125" s="581"/>
      <c r="P125" s="538"/>
      <c r="R125" s="986" t="str">
        <f>IF(G41="ampliatorio",I122-I124,I122)</f>
        <v>ERROR</v>
      </c>
      <c r="S125" s="987"/>
      <c r="T125" s="988"/>
      <c r="V125"/>
      <c r="W125"/>
      <c r="X125"/>
      <c r="Y125"/>
      <c r="Z125"/>
      <c r="AA125"/>
      <c r="AB125"/>
      <c r="AD125"/>
      <c r="AE125"/>
      <c r="AG125"/>
      <c r="AH125"/>
      <c r="AM125"/>
      <c r="AN125"/>
      <c r="AO125"/>
      <c r="AP125"/>
    </row>
    <row r="126" spans="1:34" ht="9.75" customHeight="1" thickBot="1">
      <c r="A126" s="765"/>
      <c r="B126" s="1107"/>
      <c r="C126" s="1107"/>
      <c r="D126" s="1107"/>
      <c r="E126" s="1107"/>
      <c r="F126" s="1107"/>
      <c r="G126" s="1107"/>
      <c r="H126" s="1107"/>
      <c r="I126" s="1107"/>
      <c r="J126" s="1107"/>
      <c r="K126" s="1107"/>
      <c r="L126" s="765"/>
      <c r="P126" s="542"/>
      <c r="R126" s="3"/>
      <c r="S126" s="3"/>
      <c r="V126" s="3"/>
      <c r="X126" s="3"/>
      <c r="Y126" s="3"/>
      <c r="Z126" s="3"/>
      <c r="AA126" s="3"/>
      <c r="AB126" s="3"/>
      <c r="AD126" s="3"/>
      <c r="AE126" s="3"/>
      <c r="AG126" s="3"/>
      <c r="AH126" s="3"/>
    </row>
    <row r="127" spans="1:12" ht="33" customHeight="1" thickBot="1">
      <c r="A127" s="765"/>
      <c r="B127" s="670" t="s">
        <v>295</v>
      </c>
      <c r="C127" s="1069" t="e">
        <f>enletras(I125)</f>
        <v>#NAME?</v>
      </c>
      <c r="D127" s="1070"/>
      <c r="E127" s="1070"/>
      <c r="F127" s="1070"/>
      <c r="G127" s="1070"/>
      <c r="H127" s="1070"/>
      <c r="I127" s="1070"/>
      <c r="J127" s="1070"/>
      <c r="K127" s="1071"/>
      <c r="L127" s="765"/>
    </row>
    <row r="128" spans="1:39" ht="24" customHeight="1" thickBot="1">
      <c r="A128" s="765"/>
      <c r="B128" s="841"/>
      <c r="C128" s="841"/>
      <c r="D128" s="841"/>
      <c r="E128" s="841"/>
      <c r="F128" s="841"/>
      <c r="G128" s="841"/>
      <c r="H128" s="841"/>
      <c r="I128" s="841"/>
      <c r="J128" s="841"/>
      <c r="K128" s="841"/>
      <c r="L128" s="765"/>
      <c r="Q128" s="542"/>
      <c r="AM128" s="3"/>
    </row>
    <row r="129" spans="1:12" ht="21.75" customHeight="1" thickBot="1">
      <c r="A129" s="765"/>
      <c r="B129" s="1004" t="s">
        <v>356</v>
      </c>
      <c r="C129" s="1005"/>
      <c r="D129" s="1073"/>
      <c r="E129" s="989" t="s">
        <v>678</v>
      </c>
      <c r="F129" s="990"/>
      <c r="G129" s="991"/>
      <c r="H129" s="1072"/>
      <c r="I129" s="1066" t="s">
        <v>399</v>
      </c>
      <c r="J129" s="1067"/>
      <c r="K129" s="1068"/>
      <c r="L129" s="765"/>
    </row>
    <row r="130" spans="1:20" ht="23.25" customHeight="1" thickBot="1">
      <c r="A130" s="765"/>
      <c r="B130" s="996">
        <v>22000</v>
      </c>
      <c r="C130" s="997"/>
      <c r="D130" s="1073"/>
      <c r="E130" s="998">
        <v>1.1</v>
      </c>
      <c r="F130" s="999"/>
      <c r="G130" s="1000"/>
      <c r="H130" s="1072"/>
      <c r="I130" s="1001" t="e">
        <f>IF(AND(I125&lt;=9063),555,IF(AND(I125&gt;9063,I125&lt;=41161),1028,IF(AND(I125&gt;41161),I125*0.025,0)))</f>
        <v>#VALUE!</v>
      </c>
      <c r="J130" s="1002"/>
      <c r="K130" s="1003"/>
      <c r="L130" s="765"/>
      <c r="Q130" s="3"/>
      <c r="R130" s="982"/>
      <c r="S130" s="982"/>
      <c r="T130" s="982"/>
    </row>
    <row r="131" spans="1:16" ht="24.75" customHeight="1">
      <c r="A131" s="765"/>
      <c r="B131" s="1062"/>
      <c r="C131" s="1062"/>
      <c r="D131" s="1062"/>
      <c r="E131" s="1062"/>
      <c r="F131" s="1062"/>
      <c r="G131" s="1062"/>
      <c r="H131" s="1062"/>
      <c r="I131" s="1062"/>
      <c r="J131" s="1062"/>
      <c r="K131" s="1062"/>
      <c r="L131" s="765"/>
      <c r="O131" s="3"/>
      <c r="P131" s="636"/>
    </row>
    <row r="132" spans="1:20" s="3" customFormat="1" ht="21" customHeight="1">
      <c r="A132" s="765"/>
      <c r="B132" s="671" t="s">
        <v>86</v>
      </c>
      <c r="C132" s="842">
        <v>1100</v>
      </c>
      <c r="D132" s="1061"/>
      <c r="E132" s="1062"/>
      <c r="F132" s="1062"/>
      <c r="G132" s="1062"/>
      <c r="H132" s="1062"/>
      <c r="I132" s="1062"/>
      <c r="J132" s="1062"/>
      <c r="K132" s="1062"/>
      <c r="L132" s="765"/>
      <c r="M132"/>
      <c r="N132"/>
      <c r="O132"/>
      <c r="P132" s="538"/>
      <c r="Q132"/>
      <c r="R132"/>
      <c r="S132"/>
      <c r="T132" s="37"/>
    </row>
    <row r="133" spans="1:14" ht="21" customHeight="1">
      <c r="A133" s="854"/>
      <c r="B133" s="671" t="s">
        <v>87</v>
      </c>
      <c r="C133" s="842">
        <v>6050</v>
      </c>
      <c r="D133" s="1061"/>
      <c r="E133" s="1062"/>
      <c r="F133" s="1062"/>
      <c r="G133" s="1062"/>
      <c r="H133" s="1062"/>
      <c r="I133" s="1062"/>
      <c r="J133" s="1062"/>
      <c r="K133" s="1062"/>
      <c r="L133" s="765"/>
      <c r="M133" s="3"/>
      <c r="N133" s="3"/>
    </row>
    <row r="134" spans="1:12" ht="18" customHeight="1">
      <c r="A134" s="854"/>
      <c r="B134" s="1060"/>
      <c r="C134" s="1060"/>
      <c r="D134" s="1060"/>
      <c r="E134" s="1060"/>
      <c r="F134" s="1060"/>
      <c r="G134" s="1060"/>
      <c r="H134" s="1060"/>
      <c r="I134" s="1060"/>
      <c r="J134" s="1060"/>
      <c r="K134" s="1060"/>
      <c r="L134" s="765"/>
    </row>
    <row r="135" spans="1:28" ht="13.5" customHeight="1">
      <c r="A135" s="797"/>
      <c r="B135" s="3"/>
      <c r="D135" s="22"/>
      <c r="E135" s="22"/>
      <c r="F135" s="22"/>
      <c r="G135" s="22"/>
      <c r="H135" s="22"/>
      <c r="I135" s="22"/>
      <c r="J135" s="182"/>
      <c r="K135" s="22"/>
      <c r="AB135" s="3"/>
    </row>
    <row r="136" spans="1:3" ht="16.5" customHeight="1" hidden="1">
      <c r="A136" s="797"/>
      <c r="B136" s="3"/>
      <c r="C136" s="175"/>
    </row>
    <row r="137" spans="1:2" ht="20.25" customHeight="1" hidden="1">
      <c r="A137" s="797"/>
      <c r="B137" s="3"/>
    </row>
    <row r="138" spans="1:2" ht="12.75" hidden="1">
      <c r="A138" s="797"/>
      <c r="B138" s="3"/>
    </row>
    <row r="139" spans="1:15" ht="12.75" hidden="1">
      <c r="A139" s="797"/>
      <c r="B139" s="3"/>
      <c r="O139" s="26"/>
    </row>
    <row r="140" spans="1:9" ht="18" hidden="1">
      <c r="A140" s="797"/>
      <c r="B140" s="3"/>
      <c r="F140" s="106" t="s">
        <v>354</v>
      </c>
      <c r="G140" s="106"/>
      <c r="H140" s="106" t="s">
        <v>7</v>
      </c>
      <c r="I140" s="106">
        <f>+B130/4</f>
        <v>5500</v>
      </c>
    </row>
    <row r="141" spans="1:15" ht="18" hidden="1">
      <c r="A141" s="797"/>
      <c r="B141" s="3"/>
      <c r="F141" s="106" t="s">
        <v>355</v>
      </c>
      <c r="G141" s="106"/>
      <c r="H141" s="106" t="s">
        <v>7</v>
      </c>
      <c r="I141" s="106">
        <v>7150</v>
      </c>
      <c r="N141" s="26"/>
      <c r="O141" s="26"/>
    </row>
    <row r="142" spans="1:15" ht="14.25" customHeight="1" hidden="1">
      <c r="A142" s="797"/>
      <c r="B142" s="3"/>
      <c r="D142" s="175"/>
      <c r="J142" s="184"/>
      <c r="K142" s="107"/>
      <c r="M142" s="26"/>
      <c r="O142" s="114"/>
    </row>
    <row r="143" spans="1:16" ht="18" hidden="1">
      <c r="A143" s="797"/>
      <c r="B143" s="669" t="s">
        <v>506</v>
      </c>
      <c r="C143" s="109"/>
      <c r="D143" s="106"/>
      <c r="E143" s="106"/>
      <c r="F143" s="106" t="s">
        <v>608</v>
      </c>
      <c r="G143" s="106"/>
      <c r="H143" s="106" t="s">
        <v>7</v>
      </c>
      <c r="I143" s="106">
        <f>+B130/2</f>
        <v>11000</v>
      </c>
      <c r="J143" s="184"/>
      <c r="K143" s="107"/>
      <c r="N143" s="26"/>
      <c r="O143" s="113"/>
      <c r="P143" s="541"/>
    </row>
    <row r="144" spans="1:16" ht="18" hidden="1">
      <c r="A144" s="797"/>
      <c r="B144" s="668" t="s">
        <v>507</v>
      </c>
      <c r="F144" s="106" t="s">
        <v>613</v>
      </c>
      <c r="H144" s="106" t="s">
        <v>7</v>
      </c>
      <c r="I144" s="106">
        <f>+B130/1.25</f>
        <v>17600</v>
      </c>
      <c r="J144" s="185"/>
      <c r="K144" s="110"/>
      <c r="M144" s="26"/>
      <c r="N144" s="114"/>
      <c r="O144" s="26"/>
      <c r="P144" s="541"/>
    </row>
    <row r="145" spans="1:23" ht="15" hidden="1">
      <c r="A145" s="797"/>
      <c r="B145" s="111"/>
      <c r="C145" s="111"/>
      <c r="D145" s="111"/>
      <c r="E145" s="111"/>
      <c r="F145" s="111"/>
      <c r="G145" s="111"/>
      <c r="H145" s="111"/>
      <c r="I145" s="111"/>
      <c r="J145" s="186"/>
      <c r="K145" s="112"/>
      <c r="L145" s="113"/>
      <c r="M145" s="114"/>
      <c r="N145" s="113"/>
      <c r="O145" s="26"/>
      <c r="P145" s="541"/>
      <c r="Q145" s="163"/>
      <c r="R145" s="108">
        <v>0.25</v>
      </c>
      <c r="S145" s="163"/>
      <c r="W145" s="163"/>
    </row>
    <row r="146" spans="1:23" ht="15.75" hidden="1">
      <c r="A146" s="797"/>
      <c r="B146" s="125" t="s">
        <v>508</v>
      </c>
      <c r="C146" s="115"/>
      <c r="D146" s="115"/>
      <c r="E146" s="115"/>
      <c r="F146" s="115"/>
      <c r="G146" s="115"/>
      <c r="H146" s="115"/>
      <c r="I146" s="115"/>
      <c r="J146" s="187"/>
      <c r="K146" s="116"/>
      <c r="L146" s="113"/>
      <c r="M146" s="113"/>
      <c r="N146" s="26"/>
      <c r="P146" s="541"/>
      <c r="Q146" s="163"/>
      <c r="R146" s="108">
        <v>0.325</v>
      </c>
      <c r="S146" s="163"/>
      <c r="W146" s="163"/>
    </row>
    <row r="147" spans="1:23" ht="30.75" customHeight="1" hidden="1">
      <c r="A147" s="797"/>
      <c r="B147" s="1053" t="s">
        <v>106</v>
      </c>
      <c r="C147" s="1053"/>
      <c r="D147" s="1053"/>
      <c r="E147" s="545"/>
      <c r="F147" s="545"/>
      <c r="G147" s="545"/>
      <c r="H147" s="545"/>
      <c r="I147" s="545"/>
      <c r="J147" s="545"/>
      <c r="K147" s="545"/>
      <c r="M147" s="26"/>
      <c r="N147" s="26"/>
      <c r="O147" s="39"/>
      <c r="P147" s="541"/>
      <c r="Q147" s="480"/>
      <c r="R147" s="117">
        <v>0.5</v>
      </c>
      <c r="S147" s="163"/>
      <c r="T147" s="453"/>
      <c r="W147" s="163"/>
    </row>
    <row r="148" spans="1:23" ht="40.5" customHeight="1" hidden="1">
      <c r="A148" s="797"/>
      <c r="B148" s="544"/>
      <c r="C148" s="544"/>
      <c r="D148" s="544"/>
      <c r="E148" s="544"/>
      <c r="F148" s="544"/>
      <c r="G148" s="544"/>
      <c r="H148" s="544"/>
      <c r="I148" s="544"/>
      <c r="J148" s="544"/>
      <c r="K148" s="544"/>
      <c r="M148" s="26"/>
      <c r="O148" s="119"/>
      <c r="Q148" s="480"/>
      <c r="R148" s="481">
        <v>0.8</v>
      </c>
      <c r="S148" s="163"/>
      <c r="T148" s="453"/>
      <c r="W148" s="148"/>
    </row>
    <row r="149" spans="1:23" ht="42" customHeight="1" hidden="1" thickBot="1">
      <c r="A149" s="797"/>
      <c r="B149" s="1051" t="s">
        <v>107</v>
      </c>
      <c r="C149" s="1052"/>
      <c r="D149" s="1052"/>
      <c r="E149" s="1052"/>
      <c r="F149" s="1052"/>
      <c r="G149" s="1052"/>
      <c r="H149" s="173"/>
      <c r="I149" s="176"/>
      <c r="J149" s="188"/>
      <c r="K149" s="176"/>
      <c r="L149" s="174"/>
      <c r="N149" s="39"/>
      <c r="O149" s="119"/>
      <c r="Q149" s="163"/>
      <c r="S149" s="163"/>
      <c r="T149" s="453"/>
      <c r="W149" s="148"/>
    </row>
    <row r="150" spans="1:20" ht="29.25" customHeight="1" hidden="1" thickBot="1">
      <c r="A150" s="797"/>
      <c r="B150" s="171" t="s">
        <v>290</v>
      </c>
      <c r="C150" s="177" t="s">
        <v>291</v>
      </c>
      <c r="D150" s="178"/>
      <c r="E150" s="178"/>
      <c r="F150" s="178"/>
      <c r="G150" s="178"/>
      <c r="H150" s="178"/>
      <c r="I150" s="179"/>
      <c r="J150" s="179"/>
      <c r="K150" s="209">
        <v>0</v>
      </c>
      <c r="L150" s="180" t="s">
        <v>8</v>
      </c>
      <c r="M150" s="39"/>
      <c r="N150" s="119"/>
      <c r="O150" s="22"/>
      <c r="T150" s="453"/>
    </row>
    <row r="151" spans="1:20" ht="25.5" customHeight="1" hidden="1">
      <c r="A151" s="797"/>
      <c r="B151" s="171" t="s">
        <v>108</v>
      </c>
      <c r="C151" s="156" t="s">
        <v>401</v>
      </c>
      <c r="D151" s="172"/>
      <c r="E151" s="172"/>
      <c r="F151" s="172"/>
      <c r="G151" s="172"/>
      <c r="H151" s="172"/>
      <c r="I151" s="172"/>
      <c r="J151" s="189"/>
      <c r="K151" s="210"/>
      <c r="L151" s="171" t="s">
        <v>696</v>
      </c>
      <c r="M151" s="119"/>
      <c r="N151" s="119"/>
      <c r="O151" s="22"/>
      <c r="R151" s="117">
        <v>0.075</v>
      </c>
      <c r="T151" s="453"/>
    </row>
    <row r="152" spans="1:15" ht="20.25" hidden="1">
      <c r="A152" s="797"/>
      <c r="B152" s="120" t="s">
        <v>109</v>
      </c>
      <c r="C152" s="121" t="s">
        <v>105</v>
      </c>
      <c r="D152" s="121"/>
      <c r="E152" s="122"/>
      <c r="F152" s="122"/>
      <c r="G152" s="122"/>
      <c r="H152" s="122"/>
      <c r="I152" s="123"/>
      <c r="J152" s="190"/>
      <c r="K152" s="211">
        <f>B130*R151</f>
        <v>1650</v>
      </c>
      <c r="L152" s="120" t="s">
        <v>697</v>
      </c>
      <c r="M152" s="119"/>
      <c r="N152" s="22"/>
      <c r="O152" s="22"/>
    </row>
    <row r="153" spans="1:18" ht="18" hidden="1">
      <c r="A153" s="797"/>
      <c r="B153" s="120" t="s">
        <v>110</v>
      </c>
      <c r="C153" s="124" t="s">
        <v>500</v>
      </c>
      <c r="D153" s="121"/>
      <c r="E153" s="122"/>
      <c r="F153" s="122"/>
      <c r="G153" s="122"/>
      <c r="H153" s="122"/>
      <c r="I153" s="122"/>
      <c r="J153" s="190"/>
      <c r="K153" s="211"/>
      <c r="L153" s="120" t="s">
        <v>698</v>
      </c>
      <c r="M153" s="22"/>
      <c r="N153" s="22"/>
      <c r="O153" s="22"/>
      <c r="R153" s="117">
        <v>0.7</v>
      </c>
    </row>
    <row r="154" spans="1:22" ht="15" hidden="1">
      <c r="A154" s="797"/>
      <c r="B154" s="120" t="s">
        <v>111</v>
      </c>
      <c r="C154" s="125" t="s">
        <v>861</v>
      </c>
      <c r="D154" s="121"/>
      <c r="E154" s="122"/>
      <c r="F154" s="122"/>
      <c r="G154" s="122"/>
      <c r="H154" s="122"/>
      <c r="I154" s="122"/>
      <c r="J154" s="190"/>
      <c r="K154" s="211">
        <f>B130*R153</f>
        <v>15399.999999999998</v>
      </c>
      <c r="L154" s="120" t="s">
        <v>699</v>
      </c>
      <c r="M154" s="22"/>
      <c r="N154" s="22"/>
      <c r="O154" s="22"/>
      <c r="R154" s="117">
        <v>0.8</v>
      </c>
      <c r="U154" s="148"/>
      <c r="V154" s="163"/>
    </row>
    <row r="155" spans="1:22" ht="15" hidden="1">
      <c r="A155" s="797"/>
      <c r="B155" s="120" t="s">
        <v>112</v>
      </c>
      <c r="C155" s="125" t="s">
        <v>863</v>
      </c>
      <c r="D155" s="121"/>
      <c r="E155" s="122"/>
      <c r="F155" s="122"/>
      <c r="G155" s="122"/>
      <c r="H155" s="122"/>
      <c r="I155" s="122"/>
      <c r="J155" s="190"/>
      <c r="K155" s="211">
        <f>B130*R154</f>
        <v>17600</v>
      </c>
      <c r="L155" s="120" t="s">
        <v>700</v>
      </c>
      <c r="M155" s="22"/>
      <c r="N155" s="22"/>
      <c r="O155" s="22"/>
      <c r="R155" s="117">
        <v>1</v>
      </c>
      <c r="U155" s="148"/>
      <c r="V155" s="163"/>
    </row>
    <row r="156" spans="1:22" ht="15" hidden="1">
      <c r="A156" s="797"/>
      <c r="B156" s="120" t="s">
        <v>113</v>
      </c>
      <c r="C156" s="125" t="s">
        <v>864</v>
      </c>
      <c r="D156" s="121"/>
      <c r="E156" s="122"/>
      <c r="F156" s="122"/>
      <c r="G156" s="122"/>
      <c r="H156" s="122"/>
      <c r="I156" s="122"/>
      <c r="J156" s="190"/>
      <c r="K156" s="211">
        <f>B130*R155</f>
        <v>22000</v>
      </c>
      <c r="L156" s="120" t="s">
        <v>701</v>
      </c>
      <c r="M156" s="22"/>
      <c r="N156" s="22"/>
      <c r="R156" s="117">
        <v>1.2</v>
      </c>
      <c r="U156" s="148"/>
      <c r="V156" s="163"/>
    </row>
    <row r="157" spans="1:22" ht="15" hidden="1">
      <c r="A157" s="797"/>
      <c r="B157" s="120" t="s">
        <v>504</v>
      </c>
      <c r="C157" s="125" t="s">
        <v>865</v>
      </c>
      <c r="D157" s="121"/>
      <c r="E157" s="122"/>
      <c r="F157" s="122"/>
      <c r="G157" s="122"/>
      <c r="H157" s="122"/>
      <c r="I157" s="122"/>
      <c r="J157" s="190"/>
      <c r="K157" s="211">
        <f>B130*R156</f>
        <v>26400</v>
      </c>
      <c r="L157" s="120" t="s">
        <v>702</v>
      </c>
      <c r="M157" s="22"/>
      <c r="N157" s="22"/>
      <c r="R157" s="117">
        <v>1.4</v>
      </c>
      <c r="U157" s="148"/>
      <c r="V157" s="163"/>
    </row>
    <row r="158" spans="1:22" ht="15" hidden="1">
      <c r="A158" s="797"/>
      <c r="B158" s="120" t="s">
        <v>505</v>
      </c>
      <c r="C158" s="125" t="s">
        <v>866</v>
      </c>
      <c r="D158" s="121"/>
      <c r="E158" s="122"/>
      <c r="F158" s="122"/>
      <c r="G158" s="122"/>
      <c r="H158" s="122"/>
      <c r="I158" s="122"/>
      <c r="J158" s="190"/>
      <c r="K158" s="211">
        <f>B130*R157</f>
        <v>30799.999999999996</v>
      </c>
      <c r="L158" s="120" t="s">
        <v>703</v>
      </c>
      <c r="M158" s="22"/>
      <c r="O158" s="22"/>
      <c r="U158" s="148"/>
      <c r="V158" s="163"/>
    </row>
    <row r="159" spans="1:18" ht="18" hidden="1">
      <c r="A159" s="797"/>
      <c r="B159" s="120" t="s">
        <v>114</v>
      </c>
      <c r="C159" s="124" t="s">
        <v>400</v>
      </c>
      <c r="D159" s="121"/>
      <c r="E159" s="122"/>
      <c r="F159" s="122"/>
      <c r="G159" s="122"/>
      <c r="H159" s="122"/>
      <c r="I159" s="122"/>
      <c r="J159" s="190"/>
      <c r="K159" s="211"/>
      <c r="L159" s="120" t="s">
        <v>704</v>
      </c>
      <c r="O159" s="22"/>
      <c r="R159" s="117">
        <v>0.9</v>
      </c>
    </row>
    <row r="160" spans="1:18" ht="15" hidden="1">
      <c r="A160" s="797"/>
      <c r="B160" s="120" t="s">
        <v>115</v>
      </c>
      <c r="C160" s="121" t="s">
        <v>502</v>
      </c>
      <c r="D160" s="121"/>
      <c r="E160" s="122"/>
      <c r="F160" s="122"/>
      <c r="G160" s="122"/>
      <c r="H160" s="122"/>
      <c r="I160" s="122"/>
      <c r="J160" s="190"/>
      <c r="K160" s="211">
        <f>B130*R159</f>
        <v>19800</v>
      </c>
      <c r="L160" s="120" t="s">
        <v>705</v>
      </c>
      <c r="N160" s="22"/>
      <c r="O160" s="22"/>
      <c r="R160" s="117">
        <v>1</v>
      </c>
    </row>
    <row r="161" spans="1:18" ht="15" hidden="1">
      <c r="A161" s="797"/>
      <c r="B161" s="120" t="s">
        <v>116</v>
      </c>
      <c r="C161" s="121" t="s">
        <v>501</v>
      </c>
      <c r="D161" s="121"/>
      <c r="E161" s="122"/>
      <c r="F161" s="122"/>
      <c r="G161" s="122"/>
      <c r="H161" s="122"/>
      <c r="I161" s="122"/>
      <c r="J161" s="190"/>
      <c r="K161" s="211">
        <f>B130*R160</f>
        <v>22000</v>
      </c>
      <c r="L161" s="120" t="s">
        <v>706</v>
      </c>
      <c r="M161" s="22"/>
      <c r="N161" s="22"/>
      <c r="O161" s="22"/>
      <c r="R161" s="117">
        <v>1.1</v>
      </c>
    </row>
    <row r="162" spans="1:14" ht="15" hidden="1">
      <c r="A162" s="797"/>
      <c r="B162" s="120" t="s">
        <v>117</v>
      </c>
      <c r="C162" s="125" t="s">
        <v>503</v>
      </c>
      <c r="D162" s="121"/>
      <c r="E162" s="122"/>
      <c r="F162" s="122"/>
      <c r="G162" s="122"/>
      <c r="H162" s="122"/>
      <c r="I162" s="122"/>
      <c r="J162" s="190"/>
      <c r="K162" s="211">
        <f>B130*R161</f>
        <v>24200.000000000004</v>
      </c>
      <c r="L162" s="120" t="s">
        <v>707</v>
      </c>
      <c r="M162" s="22"/>
      <c r="N162" s="22"/>
    </row>
    <row r="163" spans="1:18" ht="18" hidden="1">
      <c r="A163" s="797"/>
      <c r="B163" s="591" t="s">
        <v>675</v>
      </c>
      <c r="C163" s="586" t="s">
        <v>835</v>
      </c>
      <c r="D163" s="586" t="s">
        <v>118</v>
      </c>
      <c r="E163" s="159"/>
      <c r="F163" s="159"/>
      <c r="G163" s="159"/>
      <c r="H163" s="159"/>
      <c r="I163" s="200"/>
      <c r="J163" s="588"/>
      <c r="K163" s="216"/>
      <c r="L163" s="587" t="s">
        <v>8</v>
      </c>
      <c r="M163" s="22"/>
      <c r="N163" s="22"/>
      <c r="R163" s="117">
        <v>0.5</v>
      </c>
    </row>
    <row r="164" spans="1:18" ht="15" hidden="1">
      <c r="A164" s="797"/>
      <c r="B164" s="590" t="s">
        <v>119</v>
      </c>
      <c r="C164" s="125" t="s">
        <v>860</v>
      </c>
      <c r="D164" s="464"/>
      <c r="E164" s="122"/>
      <c r="F164" s="122"/>
      <c r="G164" s="122"/>
      <c r="H164" s="122"/>
      <c r="I164" s="190"/>
      <c r="J164" s="584"/>
      <c r="K164" s="211">
        <f>B130*R163</f>
        <v>11000</v>
      </c>
      <c r="L164" s="162" t="s">
        <v>708</v>
      </c>
      <c r="M164" s="22"/>
      <c r="R164" s="117">
        <v>0.25</v>
      </c>
    </row>
    <row r="165" spans="1:15" ht="15" hidden="1">
      <c r="A165" s="797"/>
      <c r="B165" s="590" t="s">
        <v>120</v>
      </c>
      <c r="C165" s="125" t="s">
        <v>836</v>
      </c>
      <c r="D165" s="464"/>
      <c r="E165" s="122"/>
      <c r="F165" s="122"/>
      <c r="G165" s="122"/>
      <c r="H165" s="122"/>
      <c r="I165" s="190"/>
      <c r="J165" s="584"/>
      <c r="K165" s="211">
        <f>B130*R164</f>
        <v>5500</v>
      </c>
      <c r="L165" s="589" t="s">
        <v>709</v>
      </c>
      <c r="O165" s="22"/>
    </row>
    <row r="166" spans="1:18" ht="18.75" hidden="1" thickTop="1">
      <c r="A166" s="797"/>
      <c r="B166" s="129" t="s">
        <v>121</v>
      </c>
      <c r="C166" s="130" t="s">
        <v>402</v>
      </c>
      <c r="D166" s="131"/>
      <c r="E166" s="131"/>
      <c r="F166" s="131"/>
      <c r="G166" s="131"/>
      <c r="H166" s="131"/>
      <c r="I166" s="131"/>
      <c r="J166" s="192"/>
      <c r="K166" s="212"/>
      <c r="L166" s="129" t="s">
        <v>121</v>
      </c>
      <c r="O166" s="22"/>
      <c r="R166" s="117">
        <v>0.3</v>
      </c>
    </row>
    <row r="167" spans="1:18" ht="15" hidden="1">
      <c r="A167" s="797"/>
      <c r="B167" s="120" t="s">
        <v>123</v>
      </c>
      <c r="C167" s="223" t="s">
        <v>306</v>
      </c>
      <c r="D167" s="132"/>
      <c r="E167" s="133"/>
      <c r="F167" s="122"/>
      <c r="G167" s="122"/>
      <c r="H167" s="122"/>
      <c r="I167" s="122"/>
      <c r="J167" s="190"/>
      <c r="K167" s="211">
        <f>B130*R166</f>
        <v>6600</v>
      </c>
      <c r="L167" s="120" t="s">
        <v>710</v>
      </c>
      <c r="N167" s="22"/>
      <c r="O167" s="22"/>
      <c r="R167" s="117">
        <v>0.45</v>
      </c>
    </row>
    <row r="168" spans="1:18" ht="15" hidden="1">
      <c r="A168" s="797"/>
      <c r="B168" s="120" t="s">
        <v>309</v>
      </c>
      <c r="C168" s="134" t="s">
        <v>307</v>
      </c>
      <c r="D168" s="132"/>
      <c r="E168" s="133"/>
      <c r="F168" s="122"/>
      <c r="G168" s="122"/>
      <c r="H168" s="122"/>
      <c r="I168" s="122"/>
      <c r="J168" s="190"/>
      <c r="K168" s="211">
        <f>B130*R167</f>
        <v>9900</v>
      </c>
      <c r="L168" s="120" t="s">
        <v>711</v>
      </c>
      <c r="M168" s="22"/>
      <c r="N168" s="22"/>
      <c r="O168" s="22"/>
      <c r="R168" s="117">
        <v>0.6</v>
      </c>
    </row>
    <row r="169" spans="1:18" ht="15" hidden="1">
      <c r="A169" s="797"/>
      <c r="B169" s="120" t="s">
        <v>124</v>
      </c>
      <c r="C169" s="134" t="s">
        <v>308</v>
      </c>
      <c r="D169" s="121"/>
      <c r="E169" s="122"/>
      <c r="F169" s="122"/>
      <c r="G169" s="122"/>
      <c r="H169" s="122"/>
      <c r="I169" s="122"/>
      <c r="J169" s="190"/>
      <c r="K169" s="211">
        <f>B130*R168</f>
        <v>13200</v>
      </c>
      <c r="L169" s="120" t="s">
        <v>712</v>
      </c>
      <c r="M169" s="22"/>
      <c r="N169" s="22"/>
      <c r="O169" s="22"/>
      <c r="R169" s="117">
        <v>1</v>
      </c>
    </row>
    <row r="170" spans="1:18" ht="15" hidden="1">
      <c r="A170" s="797"/>
      <c r="B170" s="120" t="s">
        <v>125</v>
      </c>
      <c r="C170" s="134" t="s">
        <v>310</v>
      </c>
      <c r="D170" s="121"/>
      <c r="E170" s="122"/>
      <c r="F170" s="122"/>
      <c r="G170" s="122"/>
      <c r="H170" s="122"/>
      <c r="I170" s="122"/>
      <c r="J170" s="190"/>
      <c r="K170" s="211">
        <f>B130*R169</f>
        <v>22000</v>
      </c>
      <c r="L170" s="120" t="s">
        <v>713</v>
      </c>
      <c r="M170" s="22"/>
      <c r="N170" s="22"/>
      <c r="O170" s="22"/>
      <c r="R170" s="117">
        <v>0.1</v>
      </c>
    </row>
    <row r="171" spans="1:18" ht="15" hidden="1">
      <c r="A171" s="797"/>
      <c r="B171" s="120" t="s">
        <v>126</v>
      </c>
      <c r="C171" s="134" t="s">
        <v>127</v>
      </c>
      <c r="D171" s="121"/>
      <c r="E171" s="122"/>
      <c r="F171" s="122"/>
      <c r="G171" s="122"/>
      <c r="H171" s="122"/>
      <c r="I171" s="122"/>
      <c r="J171" s="190"/>
      <c r="K171" s="211">
        <f>B130*R170</f>
        <v>2200</v>
      </c>
      <c r="L171" s="120" t="s">
        <v>714</v>
      </c>
      <c r="M171" s="22"/>
      <c r="N171" s="22"/>
      <c r="O171" s="22"/>
      <c r="R171" s="117">
        <v>0.2</v>
      </c>
    </row>
    <row r="172" spans="1:18" ht="15" hidden="1">
      <c r="A172" s="797"/>
      <c r="B172" s="120" t="s">
        <v>128</v>
      </c>
      <c r="C172" s="134" t="s">
        <v>129</v>
      </c>
      <c r="D172" s="121"/>
      <c r="E172" s="122"/>
      <c r="F172" s="122"/>
      <c r="G172" s="122"/>
      <c r="H172" s="122"/>
      <c r="I172" s="122"/>
      <c r="J172" s="190"/>
      <c r="K172" s="211">
        <f>B130*R171</f>
        <v>4400</v>
      </c>
      <c r="L172" s="120" t="s">
        <v>715</v>
      </c>
      <c r="M172" s="22"/>
      <c r="N172" s="22"/>
      <c r="O172" s="22"/>
      <c r="R172" s="117">
        <v>0.1</v>
      </c>
    </row>
    <row r="173" spans="1:18" ht="15" hidden="1">
      <c r="A173" s="797"/>
      <c r="B173" s="135" t="s">
        <v>130</v>
      </c>
      <c r="C173" s="125" t="s">
        <v>131</v>
      </c>
      <c r="D173" s="121"/>
      <c r="E173" s="133"/>
      <c r="F173" s="133"/>
      <c r="G173" s="133"/>
      <c r="H173" s="133"/>
      <c r="I173" s="133"/>
      <c r="J173" s="193"/>
      <c r="K173" s="211">
        <f>B130*R172</f>
        <v>2200</v>
      </c>
      <c r="L173" s="135" t="s">
        <v>716</v>
      </c>
      <c r="M173" s="22"/>
      <c r="N173" s="22"/>
      <c r="O173" s="22"/>
      <c r="R173" s="117">
        <v>0.08</v>
      </c>
    </row>
    <row r="174" spans="1:18" ht="15" hidden="1">
      <c r="A174" s="797"/>
      <c r="B174" s="136" t="s">
        <v>132</v>
      </c>
      <c r="C174" s="125" t="s">
        <v>133</v>
      </c>
      <c r="D174" s="121"/>
      <c r="E174" s="122"/>
      <c r="F174" s="122"/>
      <c r="G174" s="122"/>
      <c r="H174" s="122"/>
      <c r="I174" s="122"/>
      <c r="J174" s="190"/>
      <c r="K174" s="211">
        <f>B130*R173</f>
        <v>1760</v>
      </c>
      <c r="L174" s="136" t="s">
        <v>717</v>
      </c>
      <c r="M174" s="22"/>
      <c r="N174" s="22"/>
      <c r="O174" s="22"/>
      <c r="R174" s="117">
        <v>0.07</v>
      </c>
    </row>
    <row r="175" spans="1:18" ht="15" hidden="1">
      <c r="A175" s="797"/>
      <c r="B175" s="120" t="s">
        <v>134</v>
      </c>
      <c r="C175" s="125" t="s">
        <v>135</v>
      </c>
      <c r="D175" s="121"/>
      <c r="E175" s="122"/>
      <c r="F175" s="122"/>
      <c r="G175" s="122"/>
      <c r="H175" s="122"/>
      <c r="I175" s="122"/>
      <c r="J175" s="190"/>
      <c r="K175" s="211">
        <f>B130*R174</f>
        <v>1540.0000000000002</v>
      </c>
      <c r="L175" s="120" t="s">
        <v>718</v>
      </c>
      <c r="M175" s="22"/>
      <c r="N175" s="22"/>
      <c r="O175" s="22"/>
      <c r="R175" s="117">
        <v>1</v>
      </c>
    </row>
    <row r="176" spans="1:18" ht="18.75" hidden="1" thickTop="1">
      <c r="A176" s="797"/>
      <c r="B176" s="137" t="s">
        <v>136</v>
      </c>
      <c r="C176" s="130" t="s">
        <v>403</v>
      </c>
      <c r="D176" s="131"/>
      <c r="E176" s="131"/>
      <c r="F176" s="131"/>
      <c r="G176" s="131"/>
      <c r="H176" s="131"/>
      <c r="I176" s="131"/>
      <c r="J176" s="192"/>
      <c r="K176" s="212"/>
      <c r="L176" s="137" t="s">
        <v>136</v>
      </c>
      <c r="M176" s="22"/>
      <c r="N176" s="22"/>
      <c r="O176" s="22"/>
      <c r="R176" s="117">
        <v>0.5</v>
      </c>
    </row>
    <row r="177" spans="1:18" ht="15" hidden="1">
      <c r="A177" s="797"/>
      <c r="B177" s="120" t="s">
        <v>138</v>
      </c>
      <c r="C177" s="134" t="s">
        <v>311</v>
      </c>
      <c r="D177" s="132"/>
      <c r="E177" s="133"/>
      <c r="F177" s="122"/>
      <c r="G177" s="122"/>
      <c r="H177" s="122"/>
      <c r="I177" s="122"/>
      <c r="J177" s="190"/>
      <c r="K177" s="211">
        <f>B130*R176</f>
        <v>11000</v>
      </c>
      <c r="L177" s="120" t="s">
        <v>719</v>
      </c>
      <c r="M177" s="22"/>
      <c r="N177" s="22"/>
      <c r="O177" s="22"/>
      <c r="R177" s="117">
        <v>0.7</v>
      </c>
    </row>
    <row r="178" spans="1:18" ht="15" hidden="1">
      <c r="A178" s="797"/>
      <c r="B178" s="120" t="s">
        <v>139</v>
      </c>
      <c r="C178" s="134" t="s">
        <v>312</v>
      </c>
      <c r="D178" s="121"/>
      <c r="E178" s="122"/>
      <c r="F178" s="122"/>
      <c r="G178" s="122"/>
      <c r="H178" s="122"/>
      <c r="I178" s="122"/>
      <c r="J178" s="190"/>
      <c r="K178" s="211">
        <f>B130*R177</f>
        <v>15399.999999999998</v>
      </c>
      <c r="L178" s="120" t="s">
        <v>720</v>
      </c>
      <c r="M178" s="22"/>
      <c r="N178" s="22"/>
      <c r="O178" s="22"/>
      <c r="R178" s="117">
        <v>0.8</v>
      </c>
    </row>
    <row r="179" spans="1:18" ht="15" hidden="1">
      <c r="A179" s="797"/>
      <c r="B179" s="120" t="s">
        <v>140</v>
      </c>
      <c r="C179" s="134" t="s">
        <v>313</v>
      </c>
      <c r="D179" s="121"/>
      <c r="E179" s="122"/>
      <c r="F179" s="122"/>
      <c r="G179" s="122"/>
      <c r="H179" s="122"/>
      <c r="I179" s="122"/>
      <c r="J179" s="190"/>
      <c r="K179" s="211">
        <f>B130*R178</f>
        <v>17600</v>
      </c>
      <c r="L179" s="120" t="s">
        <v>721</v>
      </c>
      <c r="M179" s="22"/>
      <c r="N179" s="22"/>
      <c r="O179" s="22"/>
      <c r="R179" s="117">
        <v>1.4</v>
      </c>
    </row>
    <row r="180" spans="1:15" ht="15" hidden="1">
      <c r="A180" s="797"/>
      <c r="B180" s="136" t="s">
        <v>141</v>
      </c>
      <c r="C180" s="138" t="s">
        <v>142</v>
      </c>
      <c r="D180" s="127"/>
      <c r="E180" s="128"/>
      <c r="F180" s="128"/>
      <c r="G180" s="128"/>
      <c r="H180" s="128"/>
      <c r="I180" s="128"/>
      <c r="J180" s="191"/>
      <c r="K180" s="213">
        <f>B130*R179</f>
        <v>30799.999999999996</v>
      </c>
      <c r="L180" s="136" t="s">
        <v>722</v>
      </c>
      <c r="M180" s="22"/>
      <c r="N180" s="22"/>
      <c r="O180" s="22"/>
    </row>
    <row r="181" spans="1:18" ht="18.75" hidden="1" thickTop="1">
      <c r="A181" s="797"/>
      <c r="B181" s="137" t="s">
        <v>143</v>
      </c>
      <c r="C181" s="139" t="s">
        <v>404</v>
      </c>
      <c r="D181" s="131"/>
      <c r="E181" s="131"/>
      <c r="F181" s="131"/>
      <c r="G181" s="131"/>
      <c r="H181" s="131"/>
      <c r="I181" s="131"/>
      <c r="J181" s="192"/>
      <c r="K181" s="212"/>
      <c r="L181" s="137" t="s">
        <v>143</v>
      </c>
      <c r="M181" s="22"/>
      <c r="N181" s="22"/>
      <c r="O181" s="22"/>
      <c r="R181" s="117">
        <v>1</v>
      </c>
    </row>
    <row r="182" spans="1:18" ht="15" hidden="1">
      <c r="A182" s="797"/>
      <c r="B182" s="120" t="s">
        <v>144</v>
      </c>
      <c r="C182" s="125" t="s">
        <v>145</v>
      </c>
      <c r="D182" s="132"/>
      <c r="E182" s="133"/>
      <c r="F182" s="122"/>
      <c r="G182" s="122"/>
      <c r="H182" s="122"/>
      <c r="I182" s="122"/>
      <c r="J182" s="190"/>
      <c r="K182" s="211">
        <f>B130*R181</f>
        <v>22000</v>
      </c>
      <c r="L182" s="120" t="s">
        <v>723</v>
      </c>
      <c r="M182" s="22"/>
      <c r="N182" s="22"/>
      <c r="O182" s="22"/>
      <c r="R182" s="117">
        <v>1</v>
      </c>
    </row>
    <row r="183" spans="1:18" ht="15" hidden="1">
      <c r="A183" s="797"/>
      <c r="B183" s="120" t="s">
        <v>146</v>
      </c>
      <c r="C183" s="125" t="s">
        <v>147</v>
      </c>
      <c r="D183" s="121"/>
      <c r="E183" s="122"/>
      <c r="F183" s="122"/>
      <c r="G183" s="122"/>
      <c r="H183" s="122"/>
      <c r="I183" s="122"/>
      <c r="J183" s="190"/>
      <c r="K183" s="211">
        <f>B130*R182</f>
        <v>22000</v>
      </c>
      <c r="L183" s="120" t="s">
        <v>724</v>
      </c>
      <c r="M183" s="22"/>
      <c r="N183" s="22"/>
      <c r="O183" s="22"/>
      <c r="R183" s="117">
        <v>1</v>
      </c>
    </row>
    <row r="184" spans="1:18" ht="15" hidden="1">
      <c r="A184" s="797"/>
      <c r="B184" s="120" t="s">
        <v>148</v>
      </c>
      <c r="C184" s="125" t="s">
        <v>149</v>
      </c>
      <c r="D184" s="121"/>
      <c r="E184" s="122"/>
      <c r="F184" s="122"/>
      <c r="G184" s="122"/>
      <c r="H184" s="122"/>
      <c r="I184" s="122"/>
      <c r="J184" s="190"/>
      <c r="K184" s="211">
        <f>B130*R183</f>
        <v>22000</v>
      </c>
      <c r="L184" s="120" t="s">
        <v>725</v>
      </c>
      <c r="M184" s="22"/>
      <c r="N184" s="22"/>
      <c r="O184" s="22"/>
      <c r="R184" s="117">
        <v>1</v>
      </c>
    </row>
    <row r="185" spans="1:18" ht="15" hidden="1">
      <c r="A185" s="797"/>
      <c r="B185" s="120" t="s">
        <v>150</v>
      </c>
      <c r="C185" s="125" t="s">
        <v>151</v>
      </c>
      <c r="D185" s="121"/>
      <c r="E185" s="122"/>
      <c r="F185" s="122"/>
      <c r="G185" s="122"/>
      <c r="H185" s="122"/>
      <c r="I185" s="122"/>
      <c r="J185" s="190"/>
      <c r="K185" s="211">
        <f>B130*R184</f>
        <v>22000</v>
      </c>
      <c r="L185" s="120" t="s">
        <v>726</v>
      </c>
      <c r="M185" s="22"/>
      <c r="N185" s="22"/>
      <c r="O185" s="22"/>
      <c r="R185" s="117">
        <v>1</v>
      </c>
    </row>
    <row r="186" spans="1:18" ht="15" hidden="1">
      <c r="A186" s="797"/>
      <c r="B186" s="120" t="s">
        <v>152</v>
      </c>
      <c r="C186" s="125" t="s">
        <v>153</v>
      </c>
      <c r="D186" s="121"/>
      <c r="E186" s="122"/>
      <c r="F186" s="122"/>
      <c r="G186" s="122"/>
      <c r="H186" s="122"/>
      <c r="I186" s="122"/>
      <c r="J186" s="190"/>
      <c r="K186" s="211">
        <f>B130*R185</f>
        <v>22000</v>
      </c>
      <c r="L186" s="120" t="s">
        <v>727</v>
      </c>
      <c r="M186" s="22"/>
      <c r="N186" s="22"/>
      <c r="O186" s="22"/>
      <c r="R186" s="386">
        <v>1.4</v>
      </c>
    </row>
    <row r="187" spans="1:18" ht="15" hidden="1">
      <c r="A187" s="797"/>
      <c r="B187" s="120" t="s">
        <v>154</v>
      </c>
      <c r="C187" s="125" t="s">
        <v>155</v>
      </c>
      <c r="D187" s="121"/>
      <c r="E187" s="122"/>
      <c r="F187" s="122"/>
      <c r="G187" s="122"/>
      <c r="H187" s="122"/>
      <c r="I187" s="122"/>
      <c r="J187" s="190"/>
      <c r="K187" s="211">
        <f>B130*R186</f>
        <v>30799.999999999996</v>
      </c>
      <c r="L187" s="120" t="s">
        <v>728</v>
      </c>
      <c r="M187" s="22"/>
      <c r="N187" s="22"/>
      <c r="O187" s="22"/>
      <c r="R187" s="117">
        <v>0.375</v>
      </c>
    </row>
    <row r="188" spans="1:18" ht="15" hidden="1">
      <c r="A188" s="797"/>
      <c r="B188" s="120" t="s">
        <v>156</v>
      </c>
      <c r="C188" s="125" t="s">
        <v>157</v>
      </c>
      <c r="D188" s="121"/>
      <c r="E188" s="122"/>
      <c r="F188" s="122"/>
      <c r="G188" s="122"/>
      <c r="H188" s="122"/>
      <c r="I188" s="122"/>
      <c r="J188" s="190"/>
      <c r="K188" s="211">
        <f>B130*R187</f>
        <v>8250</v>
      </c>
      <c r="L188" s="120" t="s">
        <v>729</v>
      </c>
      <c r="M188" s="22"/>
      <c r="N188" s="22"/>
      <c r="O188" s="22"/>
      <c r="R188" s="117">
        <v>0.875</v>
      </c>
    </row>
    <row r="189" spans="1:15" ht="15" hidden="1">
      <c r="A189" s="797"/>
      <c r="B189" s="120" t="s">
        <v>158</v>
      </c>
      <c r="C189" s="125" t="s">
        <v>159</v>
      </c>
      <c r="D189" s="121"/>
      <c r="E189" s="122"/>
      <c r="F189" s="122"/>
      <c r="G189" s="122"/>
      <c r="H189" s="122"/>
      <c r="I189" s="122"/>
      <c r="J189" s="190"/>
      <c r="K189" s="211">
        <f>B130*R188</f>
        <v>19250</v>
      </c>
      <c r="L189" s="120" t="s">
        <v>730</v>
      </c>
      <c r="M189" s="22"/>
      <c r="N189" s="22"/>
      <c r="O189" s="22"/>
    </row>
    <row r="190" spans="1:18" ht="18.75" hidden="1" thickTop="1">
      <c r="A190" s="797"/>
      <c r="B190" s="137" t="s">
        <v>160</v>
      </c>
      <c r="C190" s="118" t="s">
        <v>405</v>
      </c>
      <c r="D190" s="131"/>
      <c r="E190" s="131"/>
      <c r="F190" s="140"/>
      <c r="G190" s="140"/>
      <c r="H190" s="140"/>
      <c r="I190" s="140"/>
      <c r="J190" s="194"/>
      <c r="K190" s="214"/>
      <c r="L190" s="137" t="s">
        <v>160</v>
      </c>
      <c r="M190" s="22"/>
      <c r="N190" s="22"/>
      <c r="O190" s="22"/>
      <c r="R190" s="117">
        <v>0.5</v>
      </c>
    </row>
    <row r="191" spans="1:18" ht="15" hidden="1">
      <c r="A191" s="797"/>
      <c r="B191" s="141" t="s">
        <v>162</v>
      </c>
      <c r="C191" s="142" t="s">
        <v>163</v>
      </c>
      <c r="D191" s="132"/>
      <c r="E191" s="133"/>
      <c r="F191" s="122"/>
      <c r="G191" s="122"/>
      <c r="H191" s="122"/>
      <c r="I191" s="122"/>
      <c r="J191" s="190"/>
      <c r="K191" s="211">
        <f>B130*R190</f>
        <v>11000</v>
      </c>
      <c r="L191" s="141" t="s">
        <v>731</v>
      </c>
      <c r="M191" s="22"/>
      <c r="N191" s="22"/>
      <c r="O191" s="22"/>
      <c r="R191" s="117">
        <v>1</v>
      </c>
    </row>
    <row r="192" spans="1:18" ht="15" hidden="1">
      <c r="A192" s="797"/>
      <c r="B192" s="141" t="s">
        <v>164</v>
      </c>
      <c r="C192" s="143" t="s">
        <v>165</v>
      </c>
      <c r="D192" s="121"/>
      <c r="E192" s="122"/>
      <c r="F192" s="122"/>
      <c r="G192" s="122"/>
      <c r="H192" s="122"/>
      <c r="I192" s="122"/>
      <c r="J192" s="190"/>
      <c r="K192" s="211">
        <f>B130*R191</f>
        <v>22000</v>
      </c>
      <c r="L192" s="141" t="s">
        <v>732</v>
      </c>
      <c r="M192" s="22"/>
      <c r="N192" s="22"/>
      <c r="O192" s="22"/>
      <c r="R192" s="117">
        <v>1.4</v>
      </c>
    </row>
    <row r="193" spans="1:15" ht="15" hidden="1">
      <c r="A193" s="797"/>
      <c r="B193" s="120" t="s">
        <v>166</v>
      </c>
      <c r="C193" s="125" t="s">
        <v>167</v>
      </c>
      <c r="D193" s="121"/>
      <c r="E193" s="122"/>
      <c r="F193" s="122"/>
      <c r="G193" s="122"/>
      <c r="H193" s="122"/>
      <c r="I193" s="122"/>
      <c r="J193" s="190"/>
      <c r="K193" s="211">
        <f>B130*R192</f>
        <v>30799.999999999996</v>
      </c>
      <c r="L193" s="120" t="s">
        <v>733</v>
      </c>
      <c r="M193" s="22"/>
      <c r="N193" s="22"/>
      <c r="O193" s="22"/>
    </row>
    <row r="194" spans="1:18" ht="18.75" hidden="1" thickTop="1">
      <c r="A194" s="797"/>
      <c r="B194" s="137" t="s">
        <v>168</v>
      </c>
      <c r="C194" s="118" t="s">
        <v>406</v>
      </c>
      <c r="D194" s="131"/>
      <c r="E194" s="131"/>
      <c r="F194" s="140"/>
      <c r="G194" s="140"/>
      <c r="H194" s="140"/>
      <c r="I194" s="140"/>
      <c r="J194" s="194"/>
      <c r="K194" s="212"/>
      <c r="L194" s="137" t="s">
        <v>168</v>
      </c>
      <c r="M194" s="22"/>
      <c r="N194" s="22"/>
      <c r="O194" s="22"/>
      <c r="R194" s="117">
        <v>0.7</v>
      </c>
    </row>
    <row r="195" spans="1:18" ht="15" hidden="1">
      <c r="A195" s="797"/>
      <c r="B195" s="120" t="s">
        <v>170</v>
      </c>
      <c r="C195" s="125" t="s">
        <v>171</v>
      </c>
      <c r="D195" s="132"/>
      <c r="E195" s="133"/>
      <c r="F195" s="122"/>
      <c r="G195" s="122"/>
      <c r="H195" s="122"/>
      <c r="I195" s="122"/>
      <c r="J195" s="190"/>
      <c r="K195" s="211">
        <f>B130*R194</f>
        <v>15399.999999999998</v>
      </c>
      <c r="L195" s="120" t="s">
        <v>734</v>
      </c>
      <c r="M195" s="22"/>
      <c r="N195" s="22"/>
      <c r="O195" s="22"/>
      <c r="R195" s="117">
        <v>0.8</v>
      </c>
    </row>
    <row r="196" spans="1:18" ht="15" hidden="1">
      <c r="A196" s="797"/>
      <c r="B196" s="120" t="s">
        <v>172</v>
      </c>
      <c r="C196" s="125" t="s">
        <v>173</v>
      </c>
      <c r="D196" s="121"/>
      <c r="E196" s="122"/>
      <c r="F196" s="122"/>
      <c r="G196" s="122"/>
      <c r="H196" s="122"/>
      <c r="I196" s="122"/>
      <c r="J196" s="190"/>
      <c r="K196" s="211">
        <f>B130*R195</f>
        <v>17600</v>
      </c>
      <c r="L196" s="120" t="s">
        <v>735</v>
      </c>
      <c r="M196" s="22"/>
      <c r="N196" s="22"/>
      <c r="O196" s="22"/>
      <c r="R196" s="117">
        <v>1</v>
      </c>
    </row>
    <row r="197" spans="1:18" ht="15" hidden="1">
      <c r="A197" s="797"/>
      <c r="B197" s="120" t="s">
        <v>174</v>
      </c>
      <c r="C197" s="125" t="s">
        <v>175</v>
      </c>
      <c r="D197" s="121"/>
      <c r="E197" s="122"/>
      <c r="F197" s="122"/>
      <c r="G197" s="122"/>
      <c r="H197" s="122"/>
      <c r="I197" s="122"/>
      <c r="J197" s="190"/>
      <c r="K197" s="211">
        <f>B130*R196</f>
        <v>22000</v>
      </c>
      <c r="L197" s="120" t="s">
        <v>736</v>
      </c>
      <c r="M197" s="22"/>
      <c r="N197" s="22"/>
      <c r="O197" s="22"/>
      <c r="R197" s="117">
        <v>1.4</v>
      </c>
    </row>
    <row r="198" spans="1:15" ht="15.75" hidden="1" thickBot="1">
      <c r="A198" s="797"/>
      <c r="B198" s="144" t="s">
        <v>174</v>
      </c>
      <c r="C198" s="145" t="s">
        <v>176</v>
      </c>
      <c r="D198" s="146"/>
      <c r="E198" s="147"/>
      <c r="F198" s="147"/>
      <c r="G198" s="147"/>
      <c r="H198" s="147"/>
      <c r="I198" s="147"/>
      <c r="J198" s="195"/>
      <c r="K198" s="215">
        <f>B130*R197</f>
        <v>30799.999999999996</v>
      </c>
      <c r="L198" s="144" t="s">
        <v>736</v>
      </c>
      <c r="M198" s="22"/>
      <c r="N198" s="22"/>
      <c r="O198" s="22"/>
    </row>
    <row r="199" spans="1:18" ht="18" hidden="1">
      <c r="A199" s="797"/>
      <c r="B199" s="149" t="s">
        <v>177</v>
      </c>
      <c r="C199" s="150" t="s">
        <v>407</v>
      </c>
      <c r="D199" s="151"/>
      <c r="E199" s="152"/>
      <c r="F199" s="152"/>
      <c r="G199" s="152"/>
      <c r="H199" s="152"/>
      <c r="I199" s="152"/>
      <c r="J199" s="197"/>
      <c r="K199" s="216"/>
      <c r="L199" s="149" t="s">
        <v>177</v>
      </c>
      <c r="M199" s="22"/>
      <c r="N199" s="22"/>
      <c r="O199" s="22"/>
      <c r="R199" s="117">
        <v>1.25</v>
      </c>
    </row>
    <row r="200" spans="1:15" ht="15" hidden="1">
      <c r="A200" s="797"/>
      <c r="B200" s="120" t="s">
        <v>179</v>
      </c>
      <c r="C200" s="125" t="s">
        <v>180</v>
      </c>
      <c r="D200" s="121"/>
      <c r="E200" s="122"/>
      <c r="F200" s="122"/>
      <c r="G200" s="122"/>
      <c r="H200" s="122"/>
      <c r="I200" s="122"/>
      <c r="J200" s="190"/>
      <c r="K200" s="211">
        <f>B130*R199</f>
        <v>27500</v>
      </c>
      <c r="L200" s="120" t="s">
        <v>737</v>
      </c>
      <c r="M200" s="22"/>
      <c r="N200" s="22"/>
      <c r="O200" s="22"/>
    </row>
    <row r="201" spans="1:18" ht="18.75" hidden="1" thickTop="1">
      <c r="A201" s="797"/>
      <c r="B201" s="137" t="s">
        <v>181</v>
      </c>
      <c r="C201" s="118" t="s">
        <v>408</v>
      </c>
      <c r="D201" s="153"/>
      <c r="E201" s="153"/>
      <c r="F201" s="154"/>
      <c r="G201" s="154"/>
      <c r="H201" s="154"/>
      <c r="I201" s="154"/>
      <c r="J201" s="198"/>
      <c r="K201" s="212"/>
      <c r="L201" s="137" t="s">
        <v>181</v>
      </c>
      <c r="M201" s="22"/>
      <c r="N201" s="22"/>
      <c r="O201" s="22"/>
      <c r="R201" s="117">
        <v>0.8</v>
      </c>
    </row>
    <row r="202" spans="1:18" ht="15" hidden="1">
      <c r="A202" s="797"/>
      <c r="B202" s="120" t="s">
        <v>183</v>
      </c>
      <c r="C202" s="125" t="s">
        <v>184</v>
      </c>
      <c r="D202" s="132"/>
      <c r="E202" s="133"/>
      <c r="F202" s="122"/>
      <c r="G202" s="122"/>
      <c r="H202" s="122"/>
      <c r="I202" s="122"/>
      <c r="J202" s="190"/>
      <c r="K202" s="211">
        <f>B130*R201</f>
        <v>17600</v>
      </c>
      <c r="L202" s="120" t="s">
        <v>738</v>
      </c>
      <c r="M202" s="22"/>
      <c r="N202" s="22"/>
      <c r="O202" s="22"/>
      <c r="R202" s="117">
        <v>1</v>
      </c>
    </row>
    <row r="203" spans="1:18" ht="15" hidden="1">
      <c r="A203" s="797"/>
      <c r="B203" s="120" t="s">
        <v>185</v>
      </c>
      <c r="C203" s="125" t="s">
        <v>186</v>
      </c>
      <c r="D203" s="121"/>
      <c r="E203" s="122"/>
      <c r="F203" s="122"/>
      <c r="G203" s="122"/>
      <c r="H203" s="122"/>
      <c r="I203" s="122"/>
      <c r="J203" s="190"/>
      <c r="K203" s="211">
        <f>B130*R202</f>
        <v>22000</v>
      </c>
      <c r="L203" s="120" t="s">
        <v>739</v>
      </c>
      <c r="M203" s="22"/>
      <c r="N203" s="22"/>
      <c r="O203" s="22"/>
      <c r="R203" s="117">
        <v>1.2</v>
      </c>
    </row>
    <row r="204" spans="1:18" ht="15" hidden="1">
      <c r="A204" s="797"/>
      <c r="B204" s="120" t="s">
        <v>187</v>
      </c>
      <c r="C204" s="125" t="s">
        <v>188</v>
      </c>
      <c r="D204" s="121"/>
      <c r="E204" s="122"/>
      <c r="F204" s="122"/>
      <c r="G204" s="122"/>
      <c r="H204" s="122"/>
      <c r="I204" s="122"/>
      <c r="J204" s="190"/>
      <c r="K204" s="211">
        <f>B130*R203</f>
        <v>26400</v>
      </c>
      <c r="L204" s="120" t="s">
        <v>740</v>
      </c>
      <c r="M204" s="22"/>
      <c r="N204" s="22"/>
      <c r="O204" s="22"/>
      <c r="R204" s="117">
        <v>2</v>
      </c>
    </row>
    <row r="205" spans="1:15" ht="15" hidden="1">
      <c r="A205" s="797"/>
      <c r="B205" s="120" t="s">
        <v>189</v>
      </c>
      <c r="C205" s="125" t="s">
        <v>190</v>
      </c>
      <c r="D205" s="121"/>
      <c r="E205" s="122"/>
      <c r="F205" s="122"/>
      <c r="G205" s="122"/>
      <c r="H205" s="122"/>
      <c r="I205" s="122"/>
      <c r="J205" s="190"/>
      <c r="K205" s="211">
        <f>B130*R204</f>
        <v>44000</v>
      </c>
      <c r="L205" s="120" t="s">
        <v>741</v>
      </c>
      <c r="M205" s="22"/>
      <c r="N205" s="22"/>
      <c r="O205" s="22"/>
    </row>
    <row r="206" spans="1:18" ht="18" hidden="1">
      <c r="A206" s="797"/>
      <c r="B206" s="155" t="s">
        <v>191</v>
      </c>
      <c r="C206" s="156" t="s">
        <v>409</v>
      </c>
      <c r="D206" s="157"/>
      <c r="E206" s="157"/>
      <c r="F206" s="158"/>
      <c r="G206" s="158"/>
      <c r="H206" s="158"/>
      <c r="I206" s="158"/>
      <c r="J206" s="199"/>
      <c r="K206" s="209"/>
      <c r="L206" s="155" t="s">
        <v>191</v>
      </c>
      <c r="M206" s="22"/>
      <c r="N206" s="22"/>
      <c r="O206" s="22"/>
      <c r="R206" s="117">
        <v>0.7</v>
      </c>
    </row>
    <row r="207" spans="1:18" ht="15" hidden="1">
      <c r="A207" s="797"/>
      <c r="B207" s="120" t="s">
        <v>193</v>
      </c>
      <c r="C207" s="125" t="s">
        <v>194</v>
      </c>
      <c r="D207" s="132"/>
      <c r="E207" s="133"/>
      <c r="F207" s="122"/>
      <c r="G207" s="122"/>
      <c r="H207" s="122"/>
      <c r="I207" s="122"/>
      <c r="J207" s="190"/>
      <c r="K207" s="211">
        <f>B130*R206</f>
        <v>15399.999999999998</v>
      </c>
      <c r="L207" s="120" t="s">
        <v>742</v>
      </c>
      <c r="M207" s="22"/>
      <c r="N207" s="22"/>
      <c r="O207" s="22"/>
      <c r="R207" s="117">
        <v>0.8</v>
      </c>
    </row>
    <row r="208" spans="1:18" ht="15" hidden="1">
      <c r="A208" s="797"/>
      <c r="B208" s="120" t="s">
        <v>195</v>
      </c>
      <c r="C208" s="125" t="s">
        <v>196</v>
      </c>
      <c r="D208" s="121"/>
      <c r="E208" s="122"/>
      <c r="F208" s="122"/>
      <c r="G208" s="122"/>
      <c r="H208" s="122"/>
      <c r="I208" s="122"/>
      <c r="J208" s="190"/>
      <c r="K208" s="211">
        <f>B130*R207</f>
        <v>17600</v>
      </c>
      <c r="L208" s="120" t="s">
        <v>743</v>
      </c>
      <c r="M208" s="22"/>
      <c r="N208" s="22"/>
      <c r="O208" s="22"/>
      <c r="R208" s="117">
        <v>1.2</v>
      </c>
    </row>
    <row r="209" spans="1:15" ht="15" hidden="1">
      <c r="A209" s="797"/>
      <c r="B209" s="120" t="s">
        <v>197</v>
      </c>
      <c r="C209" s="125" t="s">
        <v>198</v>
      </c>
      <c r="D209" s="121"/>
      <c r="E209" s="122"/>
      <c r="F209" s="122"/>
      <c r="G209" s="122"/>
      <c r="H209" s="122"/>
      <c r="I209" s="122"/>
      <c r="J209" s="190"/>
      <c r="K209" s="211">
        <f>B130*R208</f>
        <v>26400</v>
      </c>
      <c r="L209" s="120" t="s">
        <v>744</v>
      </c>
      <c r="M209" s="22"/>
      <c r="N209" s="22"/>
      <c r="O209" s="22"/>
    </row>
    <row r="210" spans="1:18" ht="18" hidden="1">
      <c r="A210" s="797"/>
      <c r="B210" s="149" t="s">
        <v>199</v>
      </c>
      <c r="C210" s="150" t="s">
        <v>410</v>
      </c>
      <c r="D210" s="159"/>
      <c r="E210" s="159"/>
      <c r="F210" s="159"/>
      <c r="G210" s="159"/>
      <c r="H210" s="159"/>
      <c r="I210" s="159"/>
      <c r="J210" s="200"/>
      <c r="K210" s="216"/>
      <c r="L210" s="149" t="s">
        <v>199</v>
      </c>
      <c r="M210" s="22"/>
      <c r="N210" s="22"/>
      <c r="O210" s="22"/>
      <c r="R210" s="117">
        <v>0.7</v>
      </c>
    </row>
    <row r="211" spans="1:18" ht="15" hidden="1">
      <c r="A211" s="797"/>
      <c r="B211" s="136" t="s">
        <v>201</v>
      </c>
      <c r="C211" s="125" t="s">
        <v>202</v>
      </c>
      <c r="D211" s="121"/>
      <c r="E211" s="122"/>
      <c r="F211" s="122"/>
      <c r="G211" s="122"/>
      <c r="H211" s="122"/>
      <c r="I211" s="122"/>
      <c r="J211" s="190"/>
      <c r="K211" s="211">
        <f>B130*R210</f>
        <v>15399.999999999998</v>
      </c>
      <c r="L211" s="136" t="s">
        <v>745</v>
      </c>
      <c r="M211" s="22"/>
      <c r="N211" s="22"/>
      <c r="O211" s="22"/>
      <c r="R211" s="117">
        <v>1</v>
      </c>
    </row>
    <row r="212" spans="1:18" ht="15" hidden="1">
      <c r="A212" s="797"/>
      <c r="B212" s="120" t="s">
        <v>203</v>
      </c>
      <c r="C212" s="160" t="s">
        <v>204</v>
      </c>
      <c r="D212" s="132"/>
      <c r="E212" s="133"/>
      <c r="F212" s="133"/>
      <c r="G212" s="133"/>
      <c r="H212" s="133"/>
      <c r="I212" s="133"/>
      <c r="J212" s="193"/>
      <c r="K212" s="211">
        <f>B130*R211</f>
        <v>22000</v>
      </c>
      <c r="L212" s="120" t="s">
        <v>746</v>
      </c>
      <c r="M212" s="22"/>
      <c r="N212" s="22"/>
      <c r="O212" s="22"/>
      <c r="R212" s="117">
        <v>1</v>
      </c>
    </row>
    <row r="213" spans="1:15" ht="15" hidden="1">
      <c r="A213" s="797"/>
      <c r="B213" s="120" t="s">
        <v>205</v>
      </c>
      <c r="C213" s="160" t="s">
        <v>206</v>
      </c>
      <c r="D213" s="132"/>
      <c r="E213" s="133"/>
      <c r="F213" s="133"/>
      <c r="G213" s="133"/>
      <c r="H213" s="133"/>
      <c r="I213" s="133"/>
      <c r="J213" s="193"/>
      <c r="K213" s="209">
        <f>B130*R212</f>
        <v>22000</v>
      </c>
      <c r="L213" s="120" t="s">
        <v>747</v>
      </c>
      <c r="M213" s="22"/>
      <c r="N213" s="22"/>
      <c r="O213" s="22"/>
    </row>
    <row r="214" spans="1:18" ht="15" hidden="1">
      <c r="A214" s="797"/>
      <c r="B214" s="120" t="s">
        <v>207</v>
      </c>
      <c r="C214" s="125" t="s">
        <v>208</v>
      </c>
      <c r="D214" s="121"/>
      <c r="E214" s="122"/>
      <c r="F214" s="122"/>
      <c r="G214" s="122"/>
      <c r="H214" s="122"/>
      <c r="I214" s="122"/>
      <c r="J214" s="190"/>
      <c r="K214" s="211"/>
      <c r="L214" s="120" t="s">
        <v>748</v>
      </c>
      <c r="M214" s="22"/>
      <c r="N214" s="22"/>
      <c r="O214" s="22"/>
      <c r="R214" s="117">
        <v>0.025</v>
      </c>
    </row>
    <row r="215" spans="1:18" ht="15" hidden="1">
      <c r="A215" s="797"/>
      <c r="B215" s="126" t="s">
        <v>209</v>
      </c>
      <c r="C215" s="125" t="s">
        <v>210</v>
      </c>
      <c r="D215" s="121"/>
      <c r="E215" s="122"/>
      <c r="F215" s="122"/>
      <c r="G215" s="122"/>
      <c r="H215" s="122"/>
      <c r="I215" s="122"/>
      <c r="J215" s="190"/>
      <c r="K215" s="211">
        <f>+B130*R214</f>
        <v>550</v>
      </c>
      <c r="L215" s="162" t="s">
        <v>749</v>
      </c>
      <c r="M215" s="22"/>
      <c r="N215" s="22"/>
      <c r="O215" s="22"/>
      <c r="R215" s="117">
        <v>0.3</v>
      </c>
    </row>
    <row r="216" spans="1:18" ht="15" hidden="1">
      <c r="A216" s="797"/>
      <c r="B216" s="126" t="s">
        <v>211</v>
      </c>
      <c r="C216" s="125" t="s">
        <v>212</v>
      </c>
      <c r="D216" s="121"/>
      <c r="E216" s="122"/>
      <c r="F216" s="122"/>
      <c r="G216" s="122"/>
      <c r="H216" s="122"/>
      <c r="I216" s="122"/>
      <c r="J216" s="190"/>
      <c r="K216" s="211">
        <f>+B130*R215</f>
        <v>6600</v>
      </c>
      <c r="L216" s="162" t="s">
        <v>750</v>
      </c>
      <c r="M216" s="22"/>
      <c r="N216" s="22"/>
      <c r="O216" s="22"/>
      <c r="R216" s="117">
        <v>2.4</v>
      </c>
    </row>
    <row r="217" spans="1:15" ht="15" hidden="1">
      <c r="A217" s="797"/>
      <c r="B217" s="126" t="s">
        <v>213</v>
      </c>
      <c r="C217" s="125" t="s">
        <v>214</v>
      </c>
      <c r="D217" s="121"/>
      <c r="E217" s="122"/>
      <c r="F217" s="122"/>
      <c r="G217" s="122"/>
      <c r="H217" s="122"/>
      <c r="I217" s="122"/>
      <c r="J217" s="190"/>
      <c r="K217" s="594">
        <f>B130*R216</f>
        <v>52800</v>
      </c>
      <c r="L217" s="162" t="s">
        <v>751</v>
      </c>
      <c r="M217" s="22"/>
      <c r="N217" s="22"/>
      <c r="O217" s="22"/>
    </row>
    <row r="218" spans="1:18" ht="18.75" hidden="1" thickTop="1">
      <c r="A218" s="797"/>
      <c r="B218" s="137" t="s">
        <v>215</v>
      </c>
      <c r="C218" s="118" t="s">
        <v>411</v>
      </c>
      <c r="D218" s="153"/>
      <c r="E218" s="153"/>
      <c r="F218" s="154"/>
      <c r="G218" s="154"/>
      <c r="H218" s="154"/>
      <c r="I218" s="154"/>
      <c r="J218" s="198"/>
      <c r="K218" s="212"/>
      <c r="L218" s="137" t="s">
        <v>215</v>
      </c>
      <c r="M218" s="22"/>
      <c r="N218" s="22"/>
      <c r="O218" s="22"/>
      <c r="R218" s="117">
        <v>0.025</v>
      </c>
    </row>
    <row r="219" spans="1:15" ht="15" hidden="1">
      <c r="A219" s="797"/>
      <c r="B219" s="120" t="s">
        <v>217</v>
      </c>
      <c r="C219" s="125" t="s">
        <v>218</v>
      </c>
      <c r="D219" s="132"/>
      <c r="E219" s="133"/>
      <c r="F219" s="122"/>
      <c r="G219" s="122"/>
      <c r="H219" s="122"/>
      <c r="I219" s="122"/>
      <c r="J219" s="190"/>
      <c r="K219" s="211">
        <f>+B130*R218</f>
        <v>550</v>
      </c>
      <c r="L219" s="120" t="s">
        <v>752</v>
      </c>
      <c r="M219" s="22"/>
      <c r="N219" s="22"/>
      <c r="O219" s="22"/>
    </row>
    <row r="220" spans="1:18" ht="15" hidden="1">
      <c r="A220" s="797"/>
      <c r="B220" s="120" t="s">
        <v>219</v>
      </c>
      <c r="C220" s="125" t="s">
        <v>220</v>
      </c>
      <c r="D220" s="148"/>
      <c r="E220" s="148" t="s">
        <v>221</v>
      </c>
      <c r="F220" s="22"/>
      <c r="G220" s="148"/>
      <c r="H220" s="148"/>
      <c r="I220" s="148"/>
      <c r="J220" s="196"/>
      <c r="K220" s="217"/>
      <c r="L220" s="120" t="s">
        <v>753</v>
      </c>
      <c r="M220" s="22"/>
      <c r="N220" s="22"/>
      <c r="O220" s="22"/>
      <c r="R220" s="117"/>
    </row>
    <row r="221" spans="1:18" ht="15" hidden="1">
      <c r="A221" s="797"/>
      <c r="B221" s="120" t="s">
        <v>222</v>
      </c>
      <c r="C221" s="125" t="s">
        <v>223</v>
      </c>
      <c r="D221" s="121"/>
      <c r="E221" s="122"/>
      <c r="F221" s="122"/>
      <c r="G221" s="122"/>
      <c r="H221" s="122"/>
      <c r="I221" s="122"/>
      <c r="J221" s="190"/>
      <c r="K221" s="211"/>
      <c r="L221" s="120" t="s">
        <v>754</v>
      </c>
      <c r="M221" s="22"/>
      <c r="N221" s="22"/>
      <c r="O221" s="22"/>
      <c r="R221" s="117">
        <v>0.02</v>
      </c>
    </row>
    <row r="222" spans="1:18" ht="15" hidden="1">
      <c r="A222" s="797"/>
      <c r="B222" s="126" t="s">
        <v>224</v>
      </c>
      <c r="C222" s="125" t="s">
        <v>225</v>
      </c>
      <c r="D222" s="121"/>
      <c r="E222" s="122"/>
      <c r="F222" s="122"/>
      <c r="G222" s="122"/>
      <c r="H222" s="122"/>
      <c r="I222" s="122"/>
      <c r="J222" s="190"/>
      <c r="K222" s="211">
        <f>+B130*R221</f>
        <v>440</v>
      </c>
      <c r="L222" s="162" t="s">
        <v>755</v>
      </c>
      <c r="M222" s="22"/>
      <c r="N222" s="22"/>
      <c r="O222" s="22"/>
      <c r="R222" s="117">
        <v>0.08</v>
      </c>
    </row>
    <row r="223" spans="1:18" ht="15" hidden="1">
      <c r="A223" s="797"/>
      <c r="B223" s="126" t="s">
        <v>226</v>
      </c>
      <c r="C223" s="125" t="s">
        <v>227</v>
      </c>
      <c r="D223" s="121"/>
      <c r="E223" s="122"/>
      <c r="F223" s="122"/>
      <c r="G223" s="122"/>
      <c r="H223" s="122"/>
      <c r="I223" s="122"/>
      <c r="J223" s="190"/>
      <c r="K223" s="211">
        <f>B130*R222</f>
        <v>1760</v>
      </c>
      <c r="L223" s="162" t="s">
        <v>756</v>
      </c>
      <c r="M223" s="22"/>
      <c r="N223" s="22"/>
      <c r="O223" s="22"/>
      <c r="R223" s="117">
        <v>0.06</v>
      </c>
    </row>
    <row r="224" spans="1:15" ht="15" hidden="1">
      <c r="A224" s="797"/>
      <c r="B224" s="126" t="s">
        <v>228</v>
      </c>
      <c r="C224" s="125" t="s">
        <v>229</v>
      </c>
      <c r="D224" s="121"/>
      <c r="E224" s="122"/>
      <c r="F224" s="122"/>
      <c r="G224" s="122"/>
      <c r="H224" s="122"/>
      <c r="I224" s="122"/>
      <c r="J224" s="190"/>
      <c r="K224" s="211">
        <f>B130*R223</f>
        <v>1320</v>
      </c>
      <c r="L224" s="162" t="s">
        <v>757</v>
      </c>
      <c r="M224" s="22"/>
      <c r="N224" s="22"/>
      <c r="O224" s="22"/>
    </row>
    <row r="225" spans="1:18" ht="18.75" hidden="1" thickTop="1">
      <c r="A225" s="797"/>
      <c r="B225" s="137" t="s">
        <v>230</v>
      </c>
      <c r="C225" s="118" t="s">
        <v>412</v>
      </c>
      <c r="D225" s="154"/>
      <c r="E225" s="154"/>
      <c r="F225" s="154"/>
      <c r="G225" s="154"/>
      <c r="H225" s="154"/>
      <c r="I225" s="154"/>
      <c r="J225" s="198"/>
      <c r="K225" s="212"/>
      <c r="L225" s="137" t="s">
        <v>230</v>
      </c>
      <c r="M225" s="22"/>
      <c r="N225" s="22"/>
      <c r="O225" s="22"/>
      <c r="R225" s="117">
        <v>1</v>
      </c>
    </row>
    <row r="226" spans="1:18" ht="15" hidden="1">
      <c r="A226" s="797"/>
      <c r="B226" s="120" t="s">
        <v>232</v>
      </c>
      <c r="C226" s="125" t="s">
        <v>233</v>
      </c>
      <c r="D226" s="121"/>
      <c r="E226" s="122"/>
      <c r="F226" s="122"/>
      <c r="G226" s="122"/>
      <c r="H226" s="122"/>
      <c r="I226" s="122"/>
      <c r="J226" s="190"/>
      <c r="K226" s="211">
        <f>B130*R225</f>
        <v>22000</v>
      </c>
      <c r="L226" s="120" t="s">
        <v>758</v>
      </c>
      <c r="M226" s="22"/>
      <c r="N226" s="22"/>
      <c r="O226" s="22"/>
      <c r="R226" s="117"/>
    </row>
    <row r="227" spans="1:18" ht="15" hidden="1">
      <c r="A227" s="797"/>
      <c r="B227" s="120" t="s">
        <v>234</v>
      </c>
      <c r="C227" s="125" t="s">
        <v>235</v>
      </c>
      <c r="D227" s="121"/>
      <c r="E227" s="122" t="s">
        <v>221</v>
      </c>
      <c r="F227" s="22"/>
      <c r="G227" s="122"/>
      <c r="H227" s="122"/>
      <c r="I227" s="122"/>
      <c r="J227" s="190"/>
      <c r="K227" s="211"/>
      <c r="L227" s="120" t="s">
        <v>759</v>
      </c>
      <c r="M227" s="22"/>
      <c r="N227" s="22"/>
      <c r="O227" s="22"/>
      <c r="R227" s="117">
        <v>1.5</v>
      </c>
    </row>
    <row r="228" spans="1:18" ht="15" hidden="1">
      <c r="A228" s="797"/>
      <c r="B228" s="141" t="s">
        <v>509</v>
      </c>
      <c r="C228" s="477" t="s">
        <v>510</v>
      </c>
      <c r="D228" s="148"/>
      <c r="E228" s="148"/>
      <c r="F228" s="22"/>
      <c r="G228" s="148"/>
      <c r="H228" s="148"/>
      <c r="I228" s="148"/>
      <c r="J228" s="196"/>
      <c r="K228" s="211">
        <f>B130*R227</f>
        <v>33000</v>
      </c>
      <c r="L228" s="141"/>
      <c r="M228" s="22"/>
      <c r="N228" s="22"/>
      <c r="O228" s="22"/>
      <c r="R228" s="117"/>
    </row>
    <row r="229" spans="1:18" ht="18.75" hidden="1" thickTop="1">
      <c r="A229" s="797"/>
      <c r="B229" s="137" t="s">
        <v>236</v>
      </c>
      <c r="C229" s="118" t="s">
        <v>413</v>
      </c>
      <c r="D229" s="154"/>
      <c r="E229" s="154"/>
      <c r="F229" s="154"/>
      <c r="G229" s="154"/>
      <c r="H229" s="154"/>
      <c r="I229" s="154"/>
      <c r="J229" s="198"/>
      <c r="K229" s="212"/>
      <c r="L229" s="137" t="s">
        <v>236</v>
      </c>
      <c r="M229" s="22"/>
      <c r="N229" s="22"/>
      <c r="O229" s="22"/>
      <c r="R229" s="117">
        <v>0.7</v>
      </c>
    </row>
    <row r="230" spans="1:18" ht="15" hidden="1">
      <c r="A230" s="797"/>
      <c r="B230" s="120" t="s">
        <v>238</v>
      </c>
      <c r="C230" s="125" t="s">
        <v>239</v>
      </c>
      <c r="D230" s="121"/>
      <c r="E230" s="122"/>
      <c r="F230" s="122"/>
      <c r="G230" s="122"/>
      <c r="H230" s="122"/>
      <c r="I230" s="122"/>
      <c r="J230" s="190"/>
      <c r="K230" s="211">
        <f>B130*R229</f>
        <v>15399.999999999998</v>
      </c>
      <c r="L230" s="120" t="s">
        <v>760</v>
      </c>
      <c r="M230" s="22"/>
      <c r="N230" s="22"/>
      <c r="O230" s="22"/>
      <c r="R230" s="117">
        <v>0.7</v>
      </c>
    </row>
    <row r="231" spans="1:18" ht="15" hidden="1">
      <c r="A231" s="797"/>
      <c r="B231" s="126" t="s">
        <v>240</v>
      </c>
      <c r="C231" s="125" t="s">
        <v>241</v>
      </c>
      <c r="D231" s="121"/>
      <c r="E231" s="122"/>
      <c r="F231" s="122"/>
      <c r="G231" s="122"/>
      <c r="H231" s="122"/>
      <c r="I231" s="122"/>
      <c r="J231" s="190"/>
      <c r="K231" s="211">
        <f>B130*R230</f>
        <v>15399.999999999998</v>
      </c>
      <c r="L231" s="162" t="s">
        <v>761</v>
      </c>
      <c r="M231" s="22"/>
      <c r="N231" s="22"/>
      <c r="O231" s="22"/>
      <c r="R231" s="117">
        <v>1</v>
      </c>
    </row>
    <row r="232" spans="1:18" ht="15" hidden="1">
      <c r="A232" s="797"/>
      <c r="B232" s="126" t="s">
        <v>242</v>
      </c>
      <c r="C232" s="125" t="s">
        <v>243</v>
      </c>
      <c r="D232" s="121"/>
      <c r="E232" s="122"/>
      <c r="F232" s="122"/>
      <c r="G232" s="122"/>
      <c r="H232" s="122"/>
      <c r="I232" s="122"/>
      <c r="J232" s="190"/>
      <c r="K232" s="211">
        <f>B130*R231</f>
        <v>22000</v>
      </c>
      <c r="L232" s="162" t="s">
        <v>762</v>
      </c>
      <c r="M232" s="22"/>
      <c r="N232" s="22"/>
      <c r="O232" s="22"/>
      <c r="R232" s="117">
        <v>1</v>
      </c>
    </row>
    <row r="233" spans="1:18" ht="15" hidden="1">
      <c r="A233" s="797"/>
      <c r="B233" s="126" t="s">
        <v>244</v>
      </c>
      <c r="C233" s="125" t="s">
        <v>245</v>
      </c>
      <c r="D233" s="121"/>
      <c r="E233" s="122"/>
      <c r="F233" s="122"/>
      <c r="G233" s="122"/>
      <c r="H233" s="122"/>
      <c r="I233" s="122"/>
      <c r="J233" s="190"/>
      <c r="K233" s="211">
        <f>B130*R232</f>
        <v>22000</v>
      </c>
      <c r="L233" s="162" t="s">
        <v>763</v>
      </c>
      <c r="M233" s="22"/>
      <c r="N233" s="22"/>
      <c r="O233" s="22"/>
      <c r="R233" s="117">
        <v>1</v>
      </c>
    </row>
    <row r="234" spans="1:18" ht="15" hidden="1">
      <c r="A234" s="797"/>
      <c r="B234" s="126" t="s">
        <v>246</v>
      </c>
      <c r="C234" s="125" t="s">
        <v>247</v>
      </c>
      <c r="D234" s="121"/>
      <c r="E234" s="122"/>
      <c r="F234" s="122"/>
      <c r="G234" s="122"/>
      <c r="H234" s="122"/>
      <c r="I234" s="122"/>
      <c r="J234" s="190"/>
      <c r="K234" s="211">
        <f>B130*R233</f>
        <v>22000</v>
      </c>
      <c r="L234" s="162" t="s">
        <v>764</v>
      </c>
      <c r="M234" s="22"/>
      <c r="N234" s="22"/>
      <c r="O234" s="22"/>
      <c r="R234" s="117">
        <v>1</v>
      </c>
    </row>
    <row r="235" spans="1:18" ht="15" hidden="1">
      <c r="A235" s="797"/>
      <c r="B235" s="126" t="s">
        <v>248</v>
      </c>
      <c r="C235" s="125" t="s">
        <v>243</v>
      </c>
      <c r="D235" s="121"/>
      <c r="E235" s="122"/>
      <c r="F235" s="122"/>
      <c r="G235" s="122"/>
      <c r="H235" s="122"/>
      <c r="I235" s="122"/>
      <c r="J235" s="190"/>
      <c r="K235" s="211">
        <f>B130*R234</f>
        <v>22000</v>
      </c>
      <c r="L235" s="162" t="s">
        <v>765</v>
      </c>
      <c r="M235" s="22"/>
      <c r="N235" s="22"/>
      <c r="O235" s="22"/>
      <c r="R235" s="117"/>
    </row>
    <row r="236" spans="1:18" ht="15.75" hidden="1">
      <c r="A236" s="797"/>
      <c r="B236" s="120" t="s">
        <v>249</v>
      </c>
      <c r="C236" s="161" t="s">
        <v>414</v>
      </c>
      <c r="D236" s="121"/>
      <c r="E236" s="122"/>
      <c r="F236" s="122"/>
      <c r="G236" s="122"/>
      <c r="H236" s="122"/>
      <c r="I236" s="122"/>
      <c r="J236" s="190"/>
      <c r="K236" s="211"/>
      <c r="L236" s="120" t="s">
        <v>766</v>
      </c>
      <c r="M236" s="22"/>
      <c r="N236" s="22"/>
      <c r="O236" s="22"/>
      <c r="R236" s="117">
        <v>0.5</v>
      </c>
    </row>
    <row r="237" spans="1:18" ht="15" hidden="1">
      <c r="A237" s="797"/>
      <c r="B237" s="126" t="s">
        <v>250</v>
      </c>
      <c r="C237" s="125" t="s">
        <v>251</v>
      </c>
      <c r="D237" s="121"/>
      <c r="E237" s="122"/>
      <c r="F237" s="122"/>
      <c r="G237" s="122"/>
      <c r="H237" s="122"/>
      <c r="I237" s="122"/>
      <c r="J237" s="190"/>
      <c r="K237" s="211">
        <f>B130*R236</f>
        <v>11000</v>
      </c>
      <c r="L237" s="162" t="s">
        <v>767</v>
      </c>
      <c r="M237" s="22"/>
      <c r="N237" s="22"/>
      <c r="O237" s="22"/>
      <c r="R237" s="117">
        <v>0.2</v>
      </c>
    </row>
    <row r="238" spans="1:18" ht="15" hidden="1">
      <c r="A238" s="797"/>
      <c r="B238" s="126" t="s">
        <v>252</v>
      </c>
      <c r="C238" s="125" t="s">
        <v>253</v>
      </c>
      <c r="D238" s="121"/>
      <c r="E238" s="122"/>
      <c r="F238" s="122"/>
      <c r="G238" s="122"/>
      <c r="H238" s="122"/>
      <c r="I238" s="122"/>
      <c r="J238" s="190"/>
      <c r="K238" s="211">
        <f>B130*R237</f>
        <v>4400</v>
      </c>
      <c r="L238" s="162" t="s">
        <v>768</v>
      </c>
      <c r="M238" s="22"/>
      <c r="N238" s="22"/>
      <c r="O238" s="22"/>
      <c r="R238" s="117">
        <v>0.5</v>
      </c>
    </row>
    <row r="239" spans="1:18" ht="15" hidden="1">
      <c r="A239" s="797"/>
      <c r="B239" s="162" t="s">
        <v>254</v>
      </c>
      <c r="C239" s="125" t="s">
        <v>255</v>
      </c>
      <c r="D239" s="121"/>
      <c r="E239" s="122"/>
      <c r="F239" s="122"/>
      <c r="G239" s="122"/>
      <c r="H239" s="122"/>
      <c r="I239" s="122"/>
      <c r="J239" s="190"/>
      <c r="K239" s="211">
        <f>B130*R238</f>
        <v>11000</v>
      </c>
      <c r="L239" s="162" t="s">
        <v>769</v>
      </c>
      <c r="M239" s="22"/>
      <c r="N239" s="22"/>
      <c r="O239" s="22"/>
      <c r="R239" s="117"/>
    </row>
    <row r="240" spans="1:18" ht="15.75" hidden="1">
      <c r="A240" s="797"/>
      <c r="B240" s="120" t="s">
        <v>256</v>
      </c>
      <c r="C240" s="161" t="s">
        <v>415</v>
      </c>
      <c r="D240" s="121"/>
      <c r="E240" s="122"/>
      <c r="F240" s="122"/>
      <c r="G240" s="122"/>
      <c r="H240" s="122"/>
      <c r="I240" s="122"/>
      <c r="J240" s="190"/>
      <c r="K240" s="211"/>
      <c r="L240" s="120" t="s">
        <v>770</v>
      </c>
      <c r="M240" s="22"/>
      <c r="N240" s="22"/>
      <c r="O240" s="22"/>
      <c r="R240" s="117">
        <v>0.025</v>
      </c>
    </row>
    <row r="241" spans="1:18" ht="15" hidden="1">
      <c r="A241" s="797"/>
      <c r="B241" s="126" t="s">
        <v>257</v>
      </c>
      <c r="C241" s="125" t="s">
        <v>258</v>
      </c>
      <c r="D241" s="121"/>
      <c r="E241" s="122"/>
      <c r="F241" s="122"/>
      <c r="G241" s="122"/>
      <c r="H241" s="122"/>
      <c r="I241" s="122"/>
      <c r="J241" s="190"/>
      <c r="K241" s="594">
        <f>B130*R240</f>
        <v>550</v>
      </c>
      <c r="L241" s="162" t="s">
        <v>771</v>
      </c>
      <c r="M241" s="22"/>
      <c r="N241" s="22"/>
      <c r="O241" s="22"/>
      <c r="R241" s="117">
        <v>0.05</v>
      </c>
    </row>
    <row r="242" spans="1:18" ht="15" hidden="1">
      <c r="A242" s="797"/>
      <c r="B242" s="126" t="s">
        <v>259</v>
      </c>
      <c r="C242" s="125" t="s">
        <v>260</v>
      </c>
      <c r="D242" s="121"/>
      <c r="E242" s="122"/>
      <c r="F242" s="122"/>
      <c r="G242" s="122"/>
      <c r="H242" s="122"/>
      <c r="I242" s="122"/>
      <c r="J242" s="190"/>
      <c r="K242" s="211">
        <f>B130*R241</f>
        <v>1100</v>
      </c>
      <c r="L242" s="162" t="s">
        <v>772</v>
      </c>
      <c r="M242" s="22"/>
      <c r="N242" s="22"/>
      <c r="O242" s="22"/>
      <c r="R242" s="117"/>
    </row>
    <row r="243" spans="1:18" ht="18.75" hidden="1" thickTop="1">
      <c r="A243" s="797"/>
      <c r="B243" s="137" t="s">
        <v>261</v>
      </c>
      <c r="C243" s="118" t="s">
        <v>416</v>
      </c>
      <c r="D243" s="154"/>
      <c r="E243" s="154"/>
      <c r="F243" s="154"/>
      <c r="G243" s="154"/>
      <c r="H243" s="154"/>
      <c r="I243" s="154"/>
      <c r="J243" s="198"/>
      <c r="K243" s="212"/>
      <c r="L243" s="137" t="s">
        <v>261</v>
      </c>
      <c r="M243" s="22"/>
      <c r="N243" s="22"/>
      <c r="O243" s="22"/>
      <c r="R243" s="117">
        <v>0.3</v>
      </c>
    </row>
    <row r="244" spans="1:18" ht="15" hidden="1">
      <c r="A244" s="797"/>
      <c r="B244" s="120" t="s">
        <v>263</v>
      </c>
      <c r="C244" s="125" t="s">
        <v>264</v>
      </c>
      <c r="D244" s="121"/>
      <c r="E244" s="122"/>
      <c r="F244" s="122"/>
      <c r="G244" s="122"/>
      <c r="H244" s="122"/>
      <c r="I244" s="122"/>
      <c r="J244" s="190"/>
      <c r="K244" s="211">
        <f>B130*R243</f>
        <v>6600</v>
      </c>
      <c r="L244" s="120" t="s">
        <v>773</v>
      </c>
      <c r="M244" s="22"/>
      <c r="N244" s="22"/>
      <c r="O244" s="22"/>
      <c r="R244" s="117">
        <v>0.4</v>
      </c>
    </row>
    <row r="245" spans="1:18" ht="15" hidden="1">
      <c r="A245" s="797"/>
      <c r="B245" s="120" t="s">
        <v>265</v>
      </c>
      <c r="C245" s="125" t="s">
        <v>266</v>
      </c>
      <c r="D245" s="121"/>
      <c r="E245" s="122"/>
      <c r="F245" s="122"/>
      <c r="G245" s="122"/>
      <c r="H245" s="122"/>
      <c r="I245" s="122"/>
      <c r="J245" s="190"/>
      <c r="K245" s="211">
        <f>B130*R244</f>
        <v>8800</v>
      </c>
      <c r="L245" s="120" t="s">
        <v>774</v>
      </c>
      <c r="M245" s="22"/>
      <c r="N245" s="22"/>
      <c r="O245" s="22"/>
      <c r="R245" s="117">
        <v>0.7</v>
      </c>
    </row>
    <row r="246" spans="1:18" ht="15" hidden="1">
      <c r="A246" s="797"/>
      <c r="B246" s="120" t="s">
        <v>267</v>
      </c>
      <c r="C246" s="125" t="s">
        <v>268</v>
      </c>
      <c r="D246" s="121"/>
      <c r="E246" s="122"/>
      <c r="F246" s="122"/>
      <c r="G246" s="122"/>
      <c r="H246" s="122"/>
      <c r="I246" s="122"/>
      <c r="J246" s="190"/>
      <c r="K246" s="211">
        <f>B130*R245</f>
        <v>15399.999999999998</v>
      </c>
      <c r="L246" s="120" t="s">
        <v>775</v>
      </c>
      <c r="M246" s="22"/>
      <c r="N246" s="22"/>
      <c r="O246" s="22"/>
      <c r="R246" s="117">
        <v>1</v>
      </c>
    </row>
    <row r="247" spans="1:18" ht="15" hidden="1">
      <c r="A247" s="797"/>
      <c r="B247" s="120" t="s">
        <v>269</v>
      </c>
      <c r="C247" s="125" t="s">
        <v>270</v>
      </c>
      <c r="D247" s="121"/>
      <c r="E247" s="122"/>
      <c r="F247" s="122"/>
      <c r="G247" s="122"/>
      <c r="H247" s="122"/>
      <c r="I247" s="122"/>
      <c r="J247" s="190"/>
      <c r="K247" s="211">
        <f>B130*R246</f>
        <v>22000</v>
      </c>
      <c r="L247" s="120" t="s">
        <v>776</v>
      </c>
      <c r="M247" s="22"/>
      <c r="N247" s="22"/>
      <c r="O247" s="22"/>
      <c r="R247" s="117"/>
    </row>
    <row r="248" spans="1:18" ht="18.75" hidden="1" thickTop="1">
      <c r="A248" s="797"/>
      <c r="B248" s="137" t="s">
        <v>271</v>
      </c>
      <c r="C248" s="118" t="s">
        <v>417</v>
      </c>
      <c r="D248" s="154"/>
      <c r="E248" s="154"/>
      <c r="F248" s="154"/>
      <c r="G248" s="154"/>
      <c r="H248" s="154"/>
      <c r="I248" s="154"/>
      <c r="J248" s="198"/>
      <c r="K248" s="212"/>
      <c r="L248" s="137" t="s">
        <v>271</v>
      </c>
      <c r="M248" s="22"/>
      <c r="N248" s="22"/>
      <c r="O248" s="22"/>
      <c r="R248" s="117">
        <v>0.08</v>
      </c>
    </row>
    <row r="249" spans="1:18" ht="15" hidden="1">
      <c r="A249" s="797"/>
      <c r="B249" s="120" t="s">
        <v>272</v>
      </c>
      <c r="C249" s="125" t="s">
        <v>273</v>
      </c>
      <c r="D249" s="121"/>
      <c r="E249" s="122"/>
      <c r="F249" s="122"/>
      <c r="G249" s="122"/>
      <c r="H249" s="122"/>
      <c r="I249" s="122"/>
      <c r="J249" s="190"/>
      <c r="K249" s="211">
        <f>B130*R248</f>
        <v>1760</v>
      </c>
      <c r="L249" s="120" t="s">
        <v>777</v>
      </c>
      <c r="M249" s="22"/>
      <c r="N249" s="22"/>
      <c r="O249" s="22"/>
      <c r="R249" s="117">
        <v>0.6</v>
      </c>
    </row>
    <row r="250" spans="1:18" ht="15" hidden="1">
      <c r="A250" s="797"/>
      <c r="B250" s="126" t="s">
        <v>274</v>
      </c>
      <c r="C250" s="125" t="s">
        <v>511</v>
      </c>
      <c r="D250" s="121"/>
      <c r="E250" s="122"/>
      <c r="F250" s="122"/>
      <c r="G250" s="122"/>
      <c r="H250" s="122"/>
      <c r="I250" s="122"/>
      <c r="J250" s="190"/>
      <c r="K250" s="211">
        <f>B130*R249</f>
        <v>13200</v>
      </c>
      <c r="L250" s="162" t="s">
        <v>778</v>
      </c>
      <c r="M250" s="22"/>
      <c r="N250" s="22"/>
      <c r="O250" s="22"/>
      <c r="R250" s="117">
        <v>0.2</v>
      </c>
    </row>
    <row r="251" spans="1:18" ht="15" hidden="1">
      <c r="A251" s="797"/>
      <c r="B251" s="126" t="s">
        <v>275</v>
      </c>
      <c r="C251" s="125" t="s">
        <v>512</v>
      </c>
      <c r="D251" s="121"/>
      <c r="E251" s="122"/>
      <c r="F251" s="122"/>
      <c r="G251" s="122"/>
      <c r="H251" s="122"/>
      <c r="I251" s="122"/>
      <c r="J251" s="190"/>
      <c r="K251" s="211">
        <f>B130*R250</f>
        <v>4400</v>
      </c>
      <c r="L251" s="162" t="s">
        <v>779</v>
      </c>
      <c r="M251" s="22"/>
      <c r="N251" s="22"/>
      <c r="O251" s="22"/>
      <c r="R251" s="117"/>
    </row>
    <row r="252" spans="1:18" ht="18.75" hidden="1" thickTop="1">
      <c r="A252" s="797"/>
      <c r="B252" s="137" t="s">
        <v>276</v>
      </c>
      <c r="C252" s="118" t="s">
        <v>418</v>
      </c>
      <c r="D252" s="154"/>
      <c r="E252" s="154"/>
      <c r="F252" s="154"/>
      <c r="G252" s="154"/>
      <c r="H252" s="154"/>
      <c r="I252" s="154"/>
      <c r="J252" s="198"/>
      <c r="K252" s="212"/>
      <c r="L252" s="137" t="s">
        <v>276</v>
      </c>
      <c r="M252" s="22"/>
      <c r="N252" s="22"/>
      <c r="O252" s="22"/>
      <c r="R252" s="117">
        <v>1.2</v>
      </c>
    </row>
    <row r="253" spans="1:18" ht="15" hidden="1">
      <c r="A253" s="797"/>
      <c r="B253" s="120" t="s">
        <v>278</v>
      </c>
      <c r="C253" s="125" t="s">
        <v>279</v>
      </c>
      <c r="D253" s="121"/>
      <c r="E253" s="122"/>
      <c r="F253" s="122"/>
      <c r="G253" s="122"/>
      <c r="H253" s="122"/>
      <c r="I253" s="122"/>
      <c r="J253" s="190"/>
      <c r="K253" s="211">
        <f>B130*R252</f>
        <v>26400</v>
      </c>
      <c r="L253" s="120" t="s">
        <v>780</v>
      </c>
      <c r="M253" s="22"/>
      <c r="N253" s="22"/>
      <c r="R253" s="117">
        <v>1.4</v>
      </c>
    </row>
    <row r="254" spans="1:18" ht="15" hidden="1">
      <c r="A254" s="797"/>
      <c r="B254" s="120" t="s">
        <v>280</v>
      </c>
      <c r="C254" s="125" t="s">
        <v>281</v>
      </c>
      <c r="D254" s="121"/>
      <c r="E254" s="122"/>
      <c r="F254" s="122"/>
      <c r="G254" s="122"/>
      <c r="H254" s="122"/>
      <c r="I254" s="122"/>
      <c r="J254" s="190"/>
      <c r="K254" s="211">
        <f>B130*R253</f>
        <v>30799.999999999996</v>
      </c>
      <c r="L254" s="120" t="s">
        <v>781</v>
      </c>
      <c r="M254" s="22"/>
      <c r="N254" s="22"/>
      <c r="R254" s="117"/>
    </row>
    <row r="255" spans="1:18" ht="18.75" hidden="1" thickTop="1">
      <c r="A255" s="797"/>
      <c r="B255" s="137" t="s">
        <v>282</v>
      </c>
      <c r="C255" s="118" t="s">
        <v>419</v>
      </c>
      <c r="D255" s="154"/>
      <c r="E255" s="154"/>
      <c r="F255" s="154"/>
      <c r="G255" s="154"/>
      <c r="H255" s="154"/>
      <c r="I255" s="154"/>
      <c r="J255" s="198"/>
      <c r="K255" s="212"/>
      <c r="L255" s="137" t="s">
        <v>282</v>
      </c>
      <c r="M255" s="22"/>
      <c r="R255" s="117">
        <v>0.15</v>
      </c>
    </row>
    <row r="256" spans="1:18" ht="15" hidden="1">
      <c r="A256" s="797"/>
      <c r="B256" s="120" t="s">
        <v>284</v>
      </c>
      <c r="C256" s="125" t="s">
        <v>285</v>
      </c>
      <c r="D256" s="121"/>
      <c r="E256" s="122"/>
      <c r="F256" s="122"/>
      <c r="G256" s="122"/>
      <c r="H256" s="122"/>
      <c r="I256" s="122"/>
      <c r="J256" s="190"/>
      <c r="K256" s="211">
        <f>B130*R255</f>
        <v>3300</v>
      </c>
      <c r="L256" s="120" t="s">
        <v>782</v>
      </c>
      <c r="R256" s="117">
        <v>0.2</v>
      </c>
    </row>
    <row r="257" spans="1:12" ht="15.75" hidden="1" thickBot="1">
      <c r="A257" s="797"/>
      <c r="B257" s="144" t="s">
        <v>286</v>
      </c>
      <c r="C257" s="145" t="s">
        <v>287</v>
      </c>
      <c r="D257" s="146"/>
      <c r="E257" s="147"/>
      <c r="F257" s="147"/>
      <c r="G257" s="147"/>
      <c r="H257" s="147"/>
      <c r="I257" s="147"/>
      <c r="J257" s="195"/>
      <c r="K257" s="215">
        <f>B130*R256</f>
        <v>4400</v>
      </c>
      <c r="L257" s="144" t="s">
        <v>783</v>
      </c>
    </row>
    <row r="258" ht="12.75" hidden="1">
      <c r="A258" s="797"/>
    </row>
    <row r="259" ht="12.75" hidden="1">
      <c r="A259" s="797"/>
    </row>
    <row r="260" ht="12.75" hidden="1">
      <c r="A260" s="797"/>
    </row>
    <row r="261" ht="12.75" hidden="1">
      <c r="A261" s="797"/>
    </row>
    <row r="262" ht="12.75" hidden="1">
      <c r="A262" s="797"/>
    </row>
    <row r="263" ht="12.75" hidden="1">
      <c r="A263" s="797"/>
    </row>
    <row r="264" ht="12.75" hidden="1">
      <c r="A264" s="797"/>
    </row>
    <row r="265" ht="12.75" hidden="1">
      <c r="A265" s="797"/>
    </row>
    <row r="266" ht="12.75" hidden="1">
      <c r="A266" s="797"/>
    </row>
    <row r="267" ht="12.75" hidden="1">
      <c r="A267" s="797"/>
    </row>
    <row r="268" ht="12.75" hidden="1">
      <c r="A268" s="797"/>
    </row>
    <row r="269" ht="12.75" hidden="1">
      <c r="A269" s="797"/>
    </row>
    <row r="270" ht="12.75" hidden="1">
      <c r="A270" s="797"/>
    </row>
    <row r="271" ht="12.75" hidden="1">
      <c r="A271" s="797"/>
    </row>
    <row r="272" ht="12.75" hidden="1">
      <c r="A272" s="797"/>
    </row>
    <row r="273" ht="12.75" hidden="1"/>
    <row r="274" ht="12.75" hidden="1"/>
    <row r="453" ht="12.75">
      <c r="B453" s="543"/>
    </row>
  </sheetData>
  <sheetProtection password="CEAE" sheet="1" objects="1" scenarios="1"/>
  <mergeCells count="243">
    <mergeCell ref="B100:F100"/>
    <mergeCell ref="G99:H99"/>
    <mergeCell ref="B101:F101"/>
    <mergeCell ref="G101:H101"/>
    <mergeCell ref="U69:W69"/>
    <mergeCell ref="U70:W70"/>
    <mergeCell ref="C80:I80"/>
    <mergeCell ref="U72:W72"/>
    <mergeCell ref="Q96:R96"/>
    <mergeCell ref="B71:F71"/>
    <mergeCell ref="B104:K104"/>
    <mergeCell ref="B102:D102"/>
    <mergeCell ref="B99:F99"/>
    <mergeCell ref="K79:K80"/>
    <mergeCell ref="K81:K86"/>
    <mergeCell ref="G100:H100"/>
    <mergeCell ref="B95:F95"/>
    <mergeCell ref="B96:F96"/>
    <mergeCell ref="B87:K87"/>
    <mergeCell ref="C84:I84"/>
    <mergeCell ref="G21:K21"/>
    <mergeCell ref="G92:H92"/>
    <mergeCell ref="G93:H93"/>
    <mergeCell ref="B72:K72"/>
    <mergeCell ref="B74:K74"/>
    <mergeCell ref="B76:K76"/>
    <mergeCell ref="B47:F49"/>
    <mergeCell ref="C78:K78"/>
    <mergeCell ref="G70:K70"/>
    <mergeCell ref="G69:K69"/>
    <mergeCell ref="R52:S52"/>
    <mergeCell ref="B77:K77"/>
    <mergeCell ref="W6:Y6"/>
    <mergeCell ref="U71:W71"/>
    <mergeCell ref="X67:AG68"/>
    <mergeCell ref="B94:F94"/>
    <mergeCell ref="G94:H94"/>
    <mergeCell ref="Q92:R92"/>
    <mergeCell ref="Q93:R93"/>
    <mergeCell ref="Q94:R94"/>
    <mergeCell ref="U68:W68"/>
    <mergeCell ref="B97:F97"/>
    <mergeCell ref="B98:F98"/>
    <mergeCell ref="G91:H91"/>
    <mergeCell ref="B75:F75"/>
    <mergeCell ref="G73:K73"/>
    <mergeCell ref="B70:F70"/>
    <mergeCell ref="B90:F90"/>
    <mergeCell ref="B68:F68"/>
    <mergeCell ref="B69:F69"/>
    <mergeCell ref="G68:K68"/>
    <mergeCell ref="B89:K89"/>
    <mergeCell ref="Q98:R98"/>
    <mergeCell ref="Q97:R97"/>
    <mergeCell ref="Q95:R95"/>
    <mergeCell ref="B91:F91"/>
    <mergeCell ref="B92:F92"/>
    <mergeCell ref="B93:F93"/>
    <mergeCell ref="G96:H96"/>
    <mergeCell ref="G95:H95"/>
    <mergeCell ref="G60:K60"/>
    <mergeCell ref="B64:F64"/>
    <mergeCell ref="G64:K64"/>
    <mergeCell ref="B53:F53"/>
    <mergeCell ref="G53:K53"/>
    <mergeCell ref="B61:F61"/>
    <mergeCell ref="B60:F60"/>
    <mergeCell ref="B55:K55"/>
    <mergeCell ref="B56:K56"/>
    <mergeCell ref="B50:F52"/>
    <mergeCell ref="B66:F66"/>
    <mergeCell ref="B63:F63"/>
    <mergeCell ref="B62:F62"/>
    <mergeCell ref="G66:K66"/>
    <mergeCell ref="G63:K63"/>
    <mergeCell ref="G62:K62"/>
    <mergeCell ref="G61:K61"/>
    <mergeCell ref="B54:F54"/>
    <mergeCell ref="G54:K54"/>
    <mergeCell ref="G67:K67"/>
    <mergeCell ref="G58:K58"/>
    <mergeCell ref="B59:F59"/>
    <mergeCell ref="G59:K59"/>
    <mergeCell ref="G65:K65"/>
    <mergeCell ref="G41:K41"/>
    <mergeCell ref="B67:F67"/>
    <mergeCell ref="B58:F58"/>
    <mergeCell ref="B46:F46"/>
    <mergeCell ref="G47:K49"/>
    <mergeCell ref="C85:I85"/>
    <mergeCell ref="C86:I86"/>
    <mergeCell ref="B73:F73"/>
    <mergeCell ref="C83:I83"/>
    <mergeCell ref="C82:I82"/>
    <mergeCell ref="C79:I79"/>
    <mergeCell ref="G9:K9"/>
    <mergeCell ref="G50:K52"/>
    <mergeCell ref="G97:H97"/>
    <mergeCell ref="G98:H98"/>
    <mergeCell ref="G102:H102"/>
    <mergeCell ref="G90:H90"/>
    <mergeCell ref="G43:K43"/>
    <mergeCell ref="C81:I81"/>
    <mergeCell ref="G75:K75"/>
    <mergeCell ref="G71:K71"/>
    <mergeCell ref="G46:K46"/>
    <mergeCell ref="G45:K45"/>
    <mergeCell ref="G40:K40"/>
    <mergeCell ref="G37:K37"/>
    <mergeCell ref="H32:K36"/>
    <mergeCell ref="B38:F38"/>
    <mergeCell ref="B39:F39"/>
    <mergeCell ref="B45:F45"/>
    <mergeCell ref="B43:F43"/>
    <mergeCell ref="B44:F44"/>
    <mergeCell ref="B1:K1"/>
    <mergeCell ref="B3:K3"/>
    <mergeCell ref="B126:K126"/>
    <mergeCell ref="B123:K123"/>
    <mergeCell ref="B116:K116"/>
    <mergeCell ref="G4:K4"/>
    <mergeCell ref="G5:K5"/>
    <mergeCell ref="G6:K6"/>
    <mergeCell ref="G7:K7"/>
    <mergeCell ref="G8:K8"/>
    <mergeCell ref="B110:F110"/>
    <mergeCell ref="G107:H107"/>
    <mergeCell ref="G109:H109"/>
    <mergeCell ref="G110:H110"/>
    <mergeCell ref="B108:F108"/>
    <mergeCell ref="G108:H108"/>
    <mergeCell ref="G115:H115"/>
    <mergeCell ref="G114:H114"/>
    <mergeCell ref="B114:F114"/>
    <mergeCell ref="B111:F111"/>
    <mergeCell ref="B112:F112"/>
    <mergeCell ref="B113:F113"/>
    <mergeCell ref="B115:F115"/>
    <mergeCell ref="B23:F23"/>
    <mergeCell ref="G111:H111"/>
    <mergeCell ref="G113:H113"/>
    <mergeCell ref="G112:H112"/>
    <mergeCell ref="B105:F105"/>
    <mergeCell ref="B106:F106"/>
    <mergeCell ref="B107:F107"/>
    <mergeCell ref="G105:H105"/>
    <mergeCell ref="G106:H106"/>
    <mergeCell ref="B109:F109"/>
    <mergeCell ref="AL24:AN24"/>
    <mergeCell ref="AE24:AG24"/>
    <mergeCell ref="V24:X24"/>
    <mergeCell ref="R38:T39"/>
    <mergeCell ref="R36:S36"/>
    <mergeCell ref="B24:F24"/>
    <mergeCell ref="B25:F25"/>
    <mergeCell ref="B34:F34"/>
    <mergeCell ref="B37:F37"/>
    <mergeCell ref="G24:K24"/>
    <mergeCell ref="G25:K25"/>
    <mergeCell ref="G26:K26"/>
    <mergeCell ref="G44:K44"/>
    <mergeCell ref="B40:F40"/>
    <mergeCell ref="B32:F32"/>
    <mergeCell ref="B33:F33"/>
    <mergeCell ref="B35:F35"/>
    <mergeCell ref="B36:F36"/>
    <mergeCell ref="B41:F41"/>
    <mergeCell ref="B42:F42"/>
    <mergeCell ref="E129:G129"/>
    <mergeCell ref="B134:K134"/>
    <mergeCell ref="D132:K133"/>
    <mergeCell ref="I124:K124"/>
    <mergeCell ref="B131:K131"/>
    <mergeCell ref="I129:K129"/>
    <mergeCell ref="C127:K127"/>
    <mergeCell ref="H129:H130"/>
    <mergeCell ref="D129:D130"/>
    <mergeCell ref="B124:H124"/>
    <mergeCell ref="G10:K10"/>
    <mergeCell ref="G13:K13"/>
    <mergeCell ref="G14:K14"/>
    <mergeCell ref="G15:K15"/>
    <mergeCell ref="G16:K16"/>
    <mergeCell ref="B149:G149"/>
    <mergeCell ref="B147:D147"/>
    <mergeCell ref="I122:K122"/>
    <mergeCell ref="B122:H122"/>
    <mergeCell ref="I125:K125"/>
    <mergeCell ref="B22:F22"/>
    <mergeCell ref="B2:K2"/>
    <mergeCell ref="G11:K11"/>
    <mergeCell ref="G12:K12"/>
    <mergeCell ref="B10:F10"/>
    <mergeCell ref="B12:F12"/>
    <mergeCell ref="B13:F13"/>
    <mergeCell ref="B14:F14"/>
    <mergeCell ref="B5:F5"/>
    <mergeCell ref="B6:F6"/>
    <mergeCell ref="B4:F4"/>
    <mergeCell ref="B9:F9"/>
    <mergeCell ref="B18:F18"/>
    <mergeCell ref="B19:F19"/>
    <mergeCell ref="B20:F20"/>
    <mergeCell ref="B21:F21"/>
    <mergeCell ref="B7:F7"/>
    <mergeCell ref="B8:F8"/>
    <mergeCell ref="B11:F11"/>
    <mergeCell ref="G17:K17"/>
    <mergeCell ref="G18:K18"/>
    <mergeCell ref="G19:K19"/>
    <mergeCell ref="G20:K20"/>
    <mergeCell ref="G42:K42"/>
    <mergeCell ref="G23:K23"/>
    <mergeCell ref="G27:K27"/>
    <mergeCell ref="H28:K31"/>
    <mergeCell ref="G38:K38"/>
    <mergeCell ref="G39:K39"/>
    <mergeCell ref="B26:F26"/>
    <mergeCell ref="B27:F27"/>
    <mergeCell ref="B28:F28"/>
    <mergeCell ref="B29:F29"/>
    <mergeCell ref="B30:F30"/>
    <mergeCell ref="B31:F31"/>
    <mergeCell ref="B117:G117"/>
    <mergeCell ref="B121:H121"/>
    <mergeCell ref="I121:K121"/>
    <mergeCell ref="R23:T23"/>
    <mergeCell ref="G22:K22"/>
    <mergeCell ref="B15:F15"/>
    <mergeCell ref="B16:F16"/>
    <mergeCell ref="B17:F17"/>
    <mergeCell ref="R41:S41"/>
    <mergeCell ref="R35:S35"/>
    <mergeCell ref="R130:T130"/>
    <mergeCell ref="R124:T124"/>
    <mergeCell ref="R125:T125"/>
    <mergeCell ref="C125:H125"/>
    <mergeCell ref="B118:E118"/>
    <mergeCell ref="F118:G118"/>
    <mergeCell ref="B130:C130"/>
    <mergeCell ref="E130:G130"/>
    <mergeCell ref="I130:K130"/>
    <mergeCell ref="B129:C129"/>
  </mergeCells>
  <dataValidations count="11">
    <dataValidation type="list" allowBlank="1" showInputMessage="1" showErrorMessage="1" sqref="AA59:AA60 BA48">
      <formula1>$B$143:$B$144</formula1>
    </dataValidation>
    <dataValidation type="list" allowBlank="1" showInputMessage="1" showErrorMessage="1" promptTitle="TIPO de OBRA" sqref="B90:B99 B105:B113">
      <formula1>$C$150:$C$257</formula1>
    </dataValidation>
    <dataValidation type="list" allowBlank="1" showInputMessage="1" showErrorMessage="1" sqref="G41">
      <formula1>$W$7:$W$10</formula1>
    </dataValidation>
    <dataValidation type="list" allowBlank="1" showInputMessage="1" showErrorMessage="1" sqref="C150 P143:P147 B146">
      <formula1>$C$150:$C$257</formula1>
    </dataValidation>
    <dataValidation type="list" allowBlank="1" showInputMessage="1" showErrorMessage="1" promptTitle="TIPO de OBRA" sqref="H149 W148:W149 B147">
      <formula1>$C$18:$C$175</formula1>
    </dataValidation>
    <dataValidation type="list" allowBlank="1" showInputMessage="1" showErrorMessage="1" sqref="G46">
      <formula1>$AG$63:$AG$65</formula1>
    </dataValidation>
    <dataValidation type="list" allowBlank="1" showInputMessage="1" showErrorMessage="1" sqref="G53:K53">
      <formula1>$R$53:$R$56</formula1>
    </dataValidation>
    <dataValidation type="list" allowBlank="1" showInputMessage="1" showErrorMessage="1" sqref="G105:G113">
      <formula1>$Q$92:$Q$97</formula1>
    </dataValidation>
    <dataValidation type="list" allowBlank="1" showInputMessage="1" showErrorMessage="1" sqref="G90:H99">
      <formula1>$Q$92:$Q$98</formula1>
    </dataValidation>
    <dataValidation type="list" allowBlank="1" showInputMessage="1" showErrorMessage="1" sqref="G75:K75 G65 G58:K64 G66:K71">
      <formula1>$R$63:$R$64</formula1>
    </dataValidation>
    <dataValidation type="list" allowBlank="1" showInputMessage="1" showErrorMessage="1" sqref="J79:J86">
      <formula1>$R$63:$R$65</formula1>
    </dataValidation>
  </dataValidations>
  <hyperlinks>
    <hyperlink ref="R59" r:id="rId1" display="bruno.leandro147@gmail.com"/>
  </hyperlinks>
  <printOptions/>
  <pageMargins left="0.7480314960629921" right="0.7480314960629921" top="0.3937007874015748" bottom="0.3937007874015748" header="0" footer="0"/>
  <pageSetup horizontalDpi="300" verticalDpi="300" orientation="landscape" paperSize="9" scale="80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J99"/>
  <sheetViews>
    <sheetView zoomScalePageLayoutView="0" workbookViewId="0" topLeftCell="A1">
      <selection activeCell="N42" sqref="N42"/>
    </sheetView>
  </sheetViews>
  <sheetFormatPr defaultColWidth="11.421875" defaultRowHeight="12.75"/>
  <cols>
    <col min="1" max="2" width="11.421875" style="1647" customWidth="1"/>
    <col min="3" max="3" width="9.57421875" style="1647" customWidth="1"/>
    <col min="4" max="4" width="14.140625" style="1647" customWidth="1"/>
    <col min="5" max="7" width="11.421875" style="1647" customWidth="1"/>
    <col min="8" max="8" width="13.421875" style="1647" customWidth="1"/>
    <col min="9" max="9" width="11.421875" style="1647" customWidth="1"/>
    <col min="10" max="10" width="13.00390625" style="1647" customWidth="1"/>
    <col min="11" max="11" width="6.421875" style="1647" customWidth="1"/>
    <col min="12" max="16384" width="11.421875" style="1647" customWidth="1"/>
  </cols>
  <sheetData>
    <row r="1" spans="2:9" ht="15.75">
      <c r="B1" s="1648" t="s">
        <v>887</v>
      </c>
      <c r="C1" s="1648"/>
      <c r="D1" s="1648"/>
      <c r="E1" s="1648"/>
      <c r="F1" s="1648"/>
      <c r="G1" s="1648"/>
      <c r="H1" s="1648"/>
      <c r="I1" s="1649" t="s">
        <v>888</v>
      </c>
    </row>
    <row r="2" spans="2:9" ht="15.75">
      <c r="B2" s="1648"/>
      <c r="C2" s="1648"/>
      <c r="D2" s="1648"/>
      <c r="E2" s="1648"/>
      <c r="F2" s="1648" t="s">
        <v>889</v>
      </c>
      <c r="G2" s="1650"/>
      <c r="H2" s="1648"/>
      <c r="I2" s="1648"/>
    </row>
    <row r="3" spans="1:5" ht="18.75" thickBot="1">
      <c r="A3" s="1651" t="s">
        <v>890</v>
      </c>
      <c r="B3" s="1651"/>
      <c r="C3" s="1651"/>
      <c r="D3" s="1651"/>
      <c r="E3" s="1651"/>
    </row>
    <row r="4" spans="1:8" ht="16.5" thickBot="1">
      <c r="A4" s="1652" t="s">
        <v>891</v>
      </c>
      <c r="B4" s="1653"/>
      <c r="C4" s="1653"/>
      <c r="D4" s="1653"/>
      <c r="E4" s="1653"/>
      <c r="F4" s="1653"/>
      <c r="G4" s="1653"/>
      <c r="H4" s="1654"/>
    </row>
    <row r="5" spans="1:9" ht="13.5" thickBot="1">
      <c r="A5" s="1655"/>
      <c r="B5" s="1655"/>
      <c r="C5" s="1655"/>
      <c r="D5" s="1655"/>
      <c r="E5" s="1655"/>
      <c r="F5" s="1655"/>
      <c r="G5" s="1655"/>
      <c r="H5" s="1655"/>
      <c r="I5" s="1655"/>
    </row>
    <row r="6" spans="1:10" ht="12.75" customHeight="1">
      <c r="A6" s="1656" t="s">
        <v>53</v>
      </c>
      <c r="B6" s="1657"/>
      <c r="C6" s="1657"/>
      <c r="D6" s="1657"/>
      <c r="E6" s="1658"/>
      <c r="F6" s="1659" t="s">
        <v>828</v>
      </c>
      <c r="G6" s="1660" t="s">
        <v>892</v>
      </c>
      <c r="H6" s="1661"/>
      <c r="I6" s="1661"/>
      <c r="J6" s="1662"/>
    </row>
    <row r="7" spans="1:10" ht="12.75" customHeight="1">
      <c r="A7" s="1656" t="s">
        <v>54</v>
      </c>
      <c r="B7" s="1657"/>
      <c r="C7" s="1657"/>
      <c r="D7" s="1657"/>
      <c r="E7" s="1658"/>
      <c r="F7" s="1659" t="s">
        <v>828</v>
      </c>
      <c r="G7" s="1663"/>
      <c r="H7" s="1664"/>
      <c r="I7" s="1664"/>
      <c r="J7" s="1665"/>
    </row>
    <row r="8" spans="1:10" ht="12.75" customHeight="1">
      <c r="A8" s="1656" t="s">
        <v>55</v>
      </c>
      <c r="B8" s="1657"/>
      <c r="C8" s="1657"/>
      <c r="D8" s="1657"/>
      <c r="E8" s="1658"/>
      <c r="F8" s="1659" t="s">
        <v>828</v>
      </c>
      <c r="G8" s="1663"/>
      <c r="H8" s="1664"/>
      <c r="I8" s="1664"/>
      <c r="J8" s="1665"/>
    </row>
    <row r="9" spans="1:10" ht="15.75" customHeight="1">
      <c r="A9" s="1656" t="s">
        <v>56</v>
      </c>
      <c r="B9" s="1657"/>
      <c r="C9" s="1657"/>
      <c r="D9" s="1657"/>
      <c r="E9" s="1658"/>
      <c r="F9" s="1659" t="s">
        <v>828</v>
      </c>
      <c r="G9" s="1666"/>
      <c r="H9" s="1667"/>
      <c r="I9" s="1667"/>
      <c r="J9" s="1668"/>
    </row>
    <row r="10" spans="1:10" ht="12.75" customHeight="1">
      <c r="A10" s="1656" t="s">
        <v>387</v>
      </c>
      <c r="B10" s="1657"/>
      <c r="C10" s="1657"/>
      <c r="D10" s="1657"/>
      <c r="E10" s="1658"/>
      <c r="F10" s="1659" t="s">
        <v>828</v>
      </c>
      <c r="G10" s="1669" t="s">
        <v>786</v>
      </c>
      <c r="H10" s="1670"/>
      <c r="I10" s="1670"/>
      <c r="J10" s="1671"/>
    </row>
    <row r="11" spans="1:10" ht="13.5" customHeight="1">
      <c r="A11" s="1656" t="s">
        <v>822</v>
      </c>
      <c r="B11" s="1657"/>
      <c r="C11" s="1657"/>
      <c r="D11" s="1657"/>
      <c r="E11" s="1658"/>
      <c r="F11" s="1659" t="s">
        <v>828</v>
      </c>
      <c r="G11" s="1669"/>
      <c r="H11" s="1670"/>
      <c r="I11" s="1670"/>
      <c r="J11" s="1671"/>
    </row>
    <row r="12" spans="1:10" ht="20.25" customHeight="1">
      <c r="A12" s="1672" t="s">
        <v>893</v>
      </c>
      <c r="B12" s="1673"/>
      <c r="C12" s="1673"/>
      <c r="D12" s="1673"/>
      <c r="E12" s="1674"/>
      <c r="F12" s="1659" t="s">
        <v>828</v>
      </c>
      <c r="G12" s="1669"/>
      <c r="H12" s="1670"/>
      <c r="I12" s="1670"/>
      <c r="J12" s="1671"/>
    </row>
    <row r="13" spans="1:10" ht="21" customHeight="1">
      <c r="A13" s="1656" t="s">
        <v>821</v>
      </c>
      <c r="B13" s="1657"/>
      <c r="C13" s="1657"/>
      <c r="D13" s="1657"/>
      <c r="E13" s="1658"/>
      <c r="F13" s="1659" t="s">
        <v>828</v>
      </c>
      <c r="G13" s="1669"/>
      <c r="H13" s="1670"/>
      <c r="I13" s="1670"/>
      <c r="J13" s="1671"/>
    </row>
    <row r="14" spans="1:10" ht="9.75" customHeight="1" thickBot="1">
      <c r="A14" s="1656" t="s">
        <v>327</v>
      </c>
      <c r="B14" s="1657"/>
      <c r="C14" s="1657"/>
      <c r="D14" s="1657"/>
      <c r="E14" s="1658"/>
      <c r="F14" s="1659" t="s">
        <v>828</v>
      </c>
      <c r="G14" s="1675"/>
      <c r="H14" s="1676"/>
      <c r="I14" s="1676"/>
      <c r="J14" s="1677"/>
    </row>
    <row r="15" spans="2:9" ht="13.5" customHeight="1" thickBot="1">
      <c r="B15" s="1678"/>
      <c r="C15" s="1678"/>
      <c r="D15" s="1678"/>
      <c r="E15" s="1678"/>
      <c r="F15" s="1678"/>
      <c r="H15" s="1679"/>
      <c r="I15" s="1680"/>
    </row>
    <row r="16" spans="2:9" ht="16.5" thickBot="1">
      <c r="B16" s="1681" t="s">
        <v>894</v>
      </c>
      <c r="C16" s="1682"/>
      <c r="D16" s="1682"/>
      <c r="E16" s="1682"/>
      <c r="F16" s="1682"/>
      <c r="G16" s="1682"/>
      <c r="H16" s="1682"/>
      <c r="I16" s="1683"/>
    </row>
    <row r="17" spans="1:6" ht="9.75" customHeight="1">
      <c r="A17" s="1684"/>
      <c r="B17" s="1685"/>
      <c r="C17" s="1685"/>
      <c r="D17" s="1685"/>
      <c r="E17" s="1686"/>
      <c r="F17" s="1687"/>
    </row>
    <row r="18" spans="1:10" ht="13.5" customHeight="1">
      <c r="A18" s="1688" t="s">
        <v>57</v>
      </c>
      <c r="B18" s="1689"/>
      <c r="C18" s="1689"/>
      <c r="D18" s="1689"/>
      <c r="E18" s="1690"/>
      <c r="F18" s="1691" t="s">
        <v>673</v>
      </c>
      <c r="G18" s="1692"/>
      <c r="H18" s="1692"/>
      <c r="I18" s="1692"/>
      <c r="J18" s="1693"/>
    </row>
    <row r="19" spans="1:10" ht="13.5" customHeight="1">
      <c r="A19" s="1688" t="s">
        <v>58</v>
      </c>
      <c r="B19" s="1689"/>
      <c r="C19" s="1689"/>
      <c r="D19" s="1689"/>
      <c r="E19" s="1690"/>
      <c r="F19" s="1691" t="s">
        <v>895</v>
      </c>
      <c r="G19" s="1694"/>
      <c r="H19" s="1694"/>
      <c r="I19" s="1694"/>
      <c r="J19" s="1695"/>
    </row>
    <row r="20" spans="1:10" ht="13.5" customHeight="1">
      <c r="A20" s="1688"/>
      <c r="B20" s="1689"/>
      <c r="C20" s="1689"/>
      <c r="D20" s="1689"/>
      <c r="E20" s="1690"/>
      <c r="F20" s="1696" t="s">
        <v>808</v>
      </c>
      <c r="G20" s="1697"/>
      <c r="H20" s="1697"/>
      <c r="I20" s="1697"/>
      <c r="J20" s="1698"/>
    </row>
    <row r="21" spans="1:10" ht="13.5" customHeight="1">
      <c r="A21" s="1688"/>
      <c r="B21" s="1689"/>
      <c r="C21" s="1689"/>
      <c r="D21" s="1689"/>
      <c r="E21" s="1690"/>
      <c r="F21" s="1691" t="s">
        <v>809</v>
      </c>
      <c r="G21" s="1694"/>
      <c r="H21" s="1694"/>
      <c r="I21" s="1694"/>
      <c r="J21" s="1695"/>
    </row>
    <row r="22" spans="1:6" ht="9.75" customHeight="1" thickBot="1">
      <c r="A22" s="1684"/>
      <c r="B22" s="1685"/>
      <c r="C22" s="1685"/>
      <c r="D22" s="1685"/>
      <c r="E22" s="1686"/>
      <c r="F22" s="1687"/>
    </row>
    <row r="23" spans="1:9" ht="20.25" customHeight="1" thickBot="1">
      <c r="A23" s="1684"/>
      <c r="B23" s="1681" t="s">
        <v>896</v>
      </c>
      <c r="C23" s="1682"/>
      <c r="D23" s="1682"/>
      <c r="E23" s="1682"/>
      <c r="F23" s="1682"/>
      <c r="G23" s="1682"/>
      <c r="H23" s="1682"/>
      <c r="I23" s="1683"/>
    </row>
    <row r="24" spans="1:6" ht="9.75" customHeight="1">
      <c r="A24" s="1684"/>
      <c r="B24" s="1699"/>
      <c r="C24" s="1699"/>
      <c r="D24" s="1699"/>
      <c r="E24" s="1686"/>
      <c r="F24" s="1687"/>
    </row>
    <row r="25" spans="1:10" ht="18" customHeight="1">
      <c r="A25" s="1656" t="s">
        <v>72</v>
      </c>
      <c r="B25" s="1657"/>
      <c r="C25" s="1657"/>
      <c r="D25" s="1657"/>
      <c r="E25" s="1658"/>
      <c r="F25" s="1700" t="s">
        <v>73</v>
      </c>
      <c r="G25" s="1701"/>
      <c r="H25" s="1701"/>
      <c r="I25" s="1701"/>
      <c r="J25" s="1702"/>
    </row>
    <row r="26" spans="1:6" ht="9.75" customHeight="1" thickBot="1">
      <c r="A26" s="1684"/>
      <c r="B26" s="1685"/>
      <c r="C26" s="1685"/>
      <c r="D26" s="1685"/>
      <c r="E26" s="1686"/>
      <c r="F26" s="1687"/>
    </row>
    <row r="27" spans="1:9" ht="16.5" customHeight="1" thickBot="1">
      <c r="A27" s="1684"/>
      <c r="B27" s="1681" t="s">
        <v>897</v>
      </c>
      <c r="C27" s="1682"/>
      <c r="D27" s="1682"/>
      <c r="E27" s="1682"/>
      <c r="F27" s="1682"/>
      <c r="G27" s="1683"/>
      <c r="H27" s="1703"/>
      <c r="I27" s="1703"/>
    </row>
    <row r="28" spans="1:9" ht="16.5" customHeight="1">
      <c r="A28" s="1684"/>
      <c r="B28" s="1704"/>
      <c r="C28" s="1704"/>
      <c r="D28" s="1704"/>
      <c r="E28" s="1704"/>
      <c r="F28" s="1704"/>
      <c r="G28" s="1704"/>
      <c r="H28" s="1703"/>
      <c r="I28" s="1703"/>
    </row>
    <row r="29" spans="1:10" ht="16.5" customHeight="1">
      <c r="A29" s="1656" t="s">
        <v>72</v>
      </c>
      <c r="B29" s="1657"/>
      <c r="C29" s="1657"/>
      <c r="D29" s="1657"/>
      <c r="E29" s="1658"/>
      <c r="F29" s="1700" t="s">
        <v>618</v>
      </c>
      <c r="G29" s="1701"/>
      <c r="H29" s="1701"/>
      <c r="I29" s="1701"/>
      <c r="J29" s="1702"/>
    </row>
    <row r="30" spans="1:10" ht="16.5" customHeight="1">
      <c r="A30" s="1656" t="s">
        <v>898</v>
      </c>
      <c r="B30" s="1657"/>
      <c r="C30" s="1657"/>
      <c r="D30" s="1657"/>
      <c r="E30" s="1658"/>
      <c r="F30" s="1705" t="s">
        <v>8</v>
      </c>
      <c r="G30" s="1706"/>
      <c r="H30" s="1706"/>
      <c r="I30" s="1706"/>
      <c r="J30" s="1707"/>
    </row>
    <row r="31" spans="1:10" ht="16.5" customHeight="1">
      <c r="A31" s="1656" t="s">
        <v>899</v>
      </c>
      <c r="B31" s="1657"/>
      <c r="C31" s="1657"/>
      <c r="D31" s="1657"/>
      <c r="E31" s="1658"/>
      <c r="F31" s="1708"/>
      <c r="G31" s="1709"/>
      <c r="H31" s="1709"/>
      <c r="I31" s="1709"/>
      <c r="J31" s="1710"/>
    </row>
    <row r="32" spans="1:10" ht="16.5" customHeight="1">
      <c r="A32" s="1656" t="s">
        <v>900</v>
      </c>
      <c r="B32" s="1657"/>
      <c r="C32" s="1657"/>
      <c r="D32" s="1657"/>
      <c r="E32" s="1658"/>
      <c r="F32" s="1711"/>
      <c r="G32" s="1712"/>
      <c r="H32" s="1712"/>
      <c r="I32" s="1712"/>
      <c r="J32" s="1713"/>
    </row>
    <row r="33" spans="1:9" ht="16.5" customHeight="1" thickBot="1">
      <c r="A33" s="1684"/>
      <c r="B33" s="1704"/>
      <c r="C33" s="1704"/>
      <c r="D33" s="1704"/>
      <c r="E33" s="1704"/>
      <c r="F33" s="1704"/>
      <c r="G33" s="1704"/>
      <c r="H33" s="1703"/>
      <c r="I33" s="1703"/>
    </row>
    <row r="34" spans="1:10" ht="16.5" customHeight="1" thickBot="1">
      <c r="A34" s="1681" t="s">
        <v>901</v>
      </c>
      <c r="B34" s="1682"/>
      <c r="C34" s="1682"/>
      <c r="D34" s="1682"/>
      <c r="E34" s="1682"/>
      <c r="F34" s="1682"/>
      <c r="G34" s="1682"/>
      <c r="H34" s="1682"/>
      <c r="I34" s="1682"/>
      <c r="J34" s="1683"/>
    </row>
    <row r="35" spans="1:9" ht="16.5" customHeight="1">
      <c r="A35" s="1684"/>
      <c r="B35" s="1704"/>
      <c r="C35" s="1704"/>
      <c r="D35" s="1704"/>
      <c r="E35" s="1704"/>
      <c r="F35" s="1704"/>
      <c r="G35" s="1704"/>
      <c r="H35" s="1703"/>
      <c r="I35" s="1703"/>
    </row>
    <row r="36" spans="1:10" ht="16.5" customHeight="1">
      <c r="A36" s="1656" t="s">
        <v>59</v>
      </c>
      <c r="B36" s="1657"/>
      <c r="C36" s="1657"/>
      <c r="D36" s="1657"/>
      <c r="E36" s="1658"/>
      <c r="F36" s="1714"/>
      <c r="G36" s="1715"/>
      <c r="H36" s="1715"/>
      <c r="I36" s="1715"/>
      <c r="J36" s="1716"/>
    </row>
    <row r="37" spans="1:9" ht="16.5" customHeight="1">
      <c r="A37" s="1684"/>
      <c r="B37" s="1717" t="s">
        <v>902</v>
      </c>
      <c r="C37" s="1717"/>
      <c r="D37" s="1717"/>
      <c r="E37" s="1717"/>
      <c r="F37" s="1717"/>
      <c r="G37" s="1717"/>
      <c r="H37" s="1717"/>
      <c r="I37" s="1703"/>
    </row>
    <row r="38" spans="1:9" ht="16.5" customHeight="1">
      <c r="A38" s="1684"/>
      <c r="B38" s="1704"/>
      <c r="C38" s="1704"/>
      <c r="D38" s="1704"/>
      <c r="E38" s="1704"/>
      <c r="F38" s="1704"/>
      <c r="G38" s="1704"/>
      <c r="H38" s="1703"/>
      <c r="I38" s="1703"/>
    </row>
    <row r="39" spans="1:10" ht="16.5" customHeight="1">
      <c r="A39" s="1718" t="s">
        <v>862</v>
      </c>
      <c r="B39" s="1719"/>
      <c r="C39" s="1719"/>
      <c r="D39" s="1719"/>
      <c r="E39" s="1720"/>
      <c r="F39" s="1714">
        <v>0</v>
      </c>
      <c r="G39" s="1715"/>
      <c r="H39" s="1715"/>
      <c r="I39" s="1715"/>
      <c r="J39" s="1716"/>
    </row>
    <row r="40" spans="1:9" ht="16.5" customHeight="1">
      <c r="A40" s="1717" t="s">
        <v>903</v>
      </c>
      <c r="B40" s="1717"/>
      <c r="C40" s="1717"/>
      <c r="D40" s="1717"/>
      <c r="E40" s="1717"/>
      <c r="F40" s="1717"/>
      <c r="G40" s="1717"/>
      <c r="H40" s="1717"/>
      <c r="I40" s="1703" t="s">
        <v>904</v>
      </c>
    </row>
    <row r="41" spans="1:6" ht="9.75" customHeight="1" thickBot="1">
      <c r="A41" s="1684"/>
      <c r="B41" s="1685"/>
      <c r="C41" s="1685"/>
      <c r="D41" s="1685"/>
      <c r="E41" s="1686"/>
      <c r="F41" s="1687"/>
    </row>
    <row r="42" spans="1:10" ht="23.25" customHeight="1" thickBot="1">
      <c r="A42" s="1721" t="s">
        <v>827</v>
      </c>
      <c r="B42" s="1722"/>
      <c r="C42" s="1722"/>
      <c r="D42" s="1722"/>
      <c r="E42" s="1722"/>
      <c r="F42" s="1722"/>
      <c r="G42" s="1722"/>
      <c r="H42" s="1722"/>
      <c r="I42" s="1722"/>
      <c r="J42" s="1723"/>
    </row>
    <row r="43" spans="1:6" ht="9.75" customHeight="1" thickBot="1">
      <c r="A43" s="1684"/>
      <c r="B43" s="1699"/>
      <c r="C43" s="1699"/>
      <c r="D43" s="1699"/>
      <c r="E43" s="1686"/>
      <c r="F43" s="1724"/>
    </row>
    <row r="44" spans="1:10" ht="19.5" customHeight="1">
      <c r="A44" s="1725" t="s">
        <v>385</v>
      </c>
      <c r="B44" s="1726"/>
      <c r="C44" s="1726"/>
      <c r="D44" s="1726"/>
      <c r="E44" s="1726"/>
      <c r="F44" s="1727">
        <v>0</v>
      </c>
      <c r="G44" s="1727"/>
      <c r="H44" s="1727"/>
      <c r="I44" s="1727"/>
      <c r="J44" s="1728"/>
    </row>
    <row r="45" spans="1:6" ht="9.75" customHeight="1">
      <c r="A45" s="1684"/>
      <c r="B45" s="1699"/>
      <c r="C45" s="1699"/>
      <c r="D45" s="1699"/>
      <c r="E45" s="1686"/>
      <c r="F45" s="1724"/>
    </row>
    <row r="46" spans="1:10" ht="21.75" customHeight="1">
      <c r="A46" s="1729" t="s">
        <v>905</v>
      </c>
      <c r="B46" s="1730"/>
      <c r="C46" s="1730"/>
      <c r="D46" s="1730"/>
      <c r="E46" s="1731"/>
      <c r="F46" s="1732"/>
      <c r="G46" s="1731"/>
      <c r="H46" s="1731"/>
      <c r="I46" s="1731"/>
      <c r="J46" s="1731"/>
    </row>
    <row r="47" spans="1:10" ht="21.75" customHeight="1">
      <c r="A47" s="1729"/>
      <c r="B47" s="1730"/>
      <c r="C47" s="1733" t="s">
        <v>906</v>
      </c>
      <c r="D47" s="1731"/>
      <c r="E47" s="1734"/>
      <c r="F47" s="1732"/>
      <c r="G47" s="1731"/>
      <c r="H47" s="1731"/>
      <c r="I47" s="1731"/>
      <c r="J47" s="1731"/>
    </row>
    <row r="48" spans="1:10" ht="21.75" customHeight="1">
      <c r="A48" s="1735" t="s">
        <v>907</v>
      </c>
      <c r="B48" s="1735"/>
      <c r="C48" s="1735"/>
      <c r="D48" s="1735"/>
      <c r="E48" s="1735"/>
      <c r="F48" s="1735"/>
      <c r="G48" s="1735"/>
      <c r="H48" s="1735"/>
      <c r="I48" s="1735"/>
      <c r="J48" s="1735"/>
    </row>
    <row r="49" spans="1:6" ht="9.75" customHeight="1" thickBot="1">
      <c r="A49" s="1684"/>
      <c r="B49" s="1699"/>
      <c r="C49" s="1699"/>
      <c r="D49" s="1699"/>
      <c r="E49" s="1686"/>
      <c r="F49" s="1724"/>
    </row>
    <row r="50" spans="1:10" ht="17.25" customHeight="1" thickBot="1">
      <c r="A50" s="1681" t="s">
        <v>908</v>
      </c>
      <c r="B50" s="1682"/>
      <c r="C50" s="1682"/>
      <c r="D50" s="1682"/>
      <c r="E50" s="1682"/>
      <c r="F50" s="1682"/>
      <c r="G50" s="1682"/>
      <c r="H50" s="1682"/>
      <c r="I50" s="1682"/>
      <c r="J50" s="1683"/>
    </row>
    <row r="51" spans="1:6" ht="9.75" customHeight="1" thickBot="1">
      <c r="A51" s="1684"/>
      <c r="B51" s="1699"/>
      <c r="C51" s="1699"/>
      <c r="D51" s="1699"/>
      <c r="E51" s="1686"/>
      <c r="F51" s="1724"/>
    </row>
    <row r="52" spans="1:10" ht="14.25" customHeight="1" thickBot="1">
      <c r="A52" s="1736" t="s">
        <v>352</v>
      </c>
      <c r="B52" s="1737"/>
      <c r="C52" s="1737"/>
      <c r="D52" s="1737"/>
      <c r="E52" s="1738"/>
      <c r="F52" s="1739" t="s">
        <v>507</v>
      </c>
      <c r="G52" s="1740"/>
      <c r="H52" s="1740"/>
      <c r="I52" s="1740"/>
      <c r="J52" s="1741"/>
    </row>
    <row r="53" spans="1:6" ht="9.75" customHeight="1" thickBot="1">
      <c r="A53" s="1684"/>
      <c r="B53" s="1699"/>
      <c r="C53" s="1699"/>
      <c r="D53" s="1699"/>
      <c r="E53" s="1686"/>
      <c r="F53" s="1724"/>
    </row>
    <row r="54" spans="1:10" ht="18.75" customHeight="1" thickBot="1">
      <c r="A54" s="1742" t="s">
        <v>909</v>
      </c>
      <c r="B54" s="1743"/>
      <c r="C54" s="1744"/>
      <c r="D54" s="1699"/>
      <c r="E54" s="1686"/>
      <c r="F54" s="1745" t="s">
        <v>910</v>
      </c>
      <c r="G54" s="1746"/>
      <c r="H54" s="1746"/>
      <c r="I54" s="1746"/>
      <c r="J54" s="1747"/>
    </row>
    <row r="55" spans="1:6" ht="9.75" customHeight="1" thickBot="1">
      <c r="A55" s="1684"/>
      <c r="B55" s="1699"/>
      <c r="C55" s="1699"/>
      <c r="D55" s="1699"/>
      <c r="E55" s="1686"/>
      <c r="F55" s="1724"/>
    </row>
    <row r="56" spans="1:10" s="1751" customFormat="1" ht="15" customHeight="1" thickBot="1">
      <c r="A56" s="1748" t="s">
        <v>576</v>
      </c>
      <c r="B56" s="1749"/>
      <c r="C56" s="1749"/>
      <c r="D56" s="1749"/>
      <c r="E56" s="1749"/>
      <c r="F56" s="1749"/>
      <c r="G56" s="1749"/>
      <c r="H56" s="1749"/>
      <c r="I56" s="1749"/>
      <c r="J56" s="1750"/>
    </row>
    <row r="57" spans="1:10" s="1751" customFormat="1" ht="15" customHeight="1" thickBot="1">
      <c r="A57" s="1752" t="s">
        <v>110</v>
      </c>
      <c r="B57" s="1753" t="s">
        <v>352</v>
      </c>
      <c r="C57" s="1753"/>
      <c r="D57" s="1753"/>
      <c r="E57" s="1753"/>
      <c r="F57" s="1753"/>
      <c r="G57" s="1753"/>
      <c r="H57" s="1753"/>
      <c r="I57" s="1754"/>
      <c r="J57" s="1755"/>
    </row>
    <row r="58" spans="1:10" s="1751" customFormat="1" ht="15" customHeight="1" thickBot="1">
      <c r="A58" s="1756" t="s">
        <v>911</v>
      </c>
      <c r="B58" s="1757" t="s">
        <v>912</v>
      </c>
      <c r="C58" s="1758"/>
      <c r="D58" s="1758"/>
      <c r="E58" s="1758"/>
      <c r="F58" s="1758"/>
      <c r="G58" s="1758"/>
      <c r="H58" s="1758"/>
      <c r="I58" s="1759"/>
      <c r="J58" s="1760" t="s">
        <v>913</v>
      </c>
    </row>
    <row r="59" spans="1:10" ht="13.5" customHeight="1" thickBot="1">
      <c r="A59" s="1761" t="s">
        <v>914</v>
      </c>
      <c r="B59" s="1762" t="s">
        <v>915</v>
      </c>
      <c r="C59" s="1763"/>
      <c r="D59" s="1763"/>
      <c r="E59" s="1763"/>
      <c r="F59" s="1763"/>
      <c r="G59" s="1763"/>
      <c r="H59" s="1763"/>
      <c r="I59" s="1759"/>
      <c r="J59" s="1764"/>
    </row>
    <row r="60" spans="1:10" ht="15.75" customHeight="1" thickBot="1">
      <c r="A60" s="1761" t="s">
        <v>916</v>
      </c>
      <c r="B60" s="1762" t="s">
        <v>917</v>
      </c>
      <c r="C60" s="1763"/>
      <c r="D60" s="1763"/>
      <c r="E60" s="1763"/>
      <c r="F60" s="1763"/>
      <c r="G60" s="1763"/>
      <c r="H60" s="1763"/>
      <c r="I60" s="1759"/>
      <c r="J60" s="1765" t="str">
        <f>'[1]INGRESO DE DATOS'!K81</f>
        <v> A    </v>
      </c>
    </row>
    <row r="61" spans="1:10" ht="15.75" customHeight="1" thickBot="1">
      <c r="A61" s="1761" t="s">
        <v>918</v>
      </c>
      <c r="B61" s="1762" t="s">
        <v>919</v>
      </c>
      <c r="C61" s="1763"/>
      <c r="D61" s="1763"/>
      <c r="E61" s="1763"/>
      <c r="F61" s="1763"/>
      <c r="G61" s="1763"/>
      <c r="H61" s="1763"/>
      <c r="I61" s="1759"/>
      <c r="J61" s="1766"/>
    </row>
    <row r="62" spans="1:10" ht="13.5" customHeight="1" thickBot="1">
      <c r="A62" s="1761" t="s">
        <v>920</v>
      </c>
      <c r="B62" s="1762" t="s">
        <v>921</v>
      </c>
      <c r="C62" s="1763"/>
      <c r="D62" s="1763"/>
      <c r="E62" s="1763"/>
      <c r="F62" s="1763"/>
      <c r="G62" s="1763"/>
      <c r="H62" s="1763"/>
      <c r="I62" s="1759"/>
      <c r="J62" s="1766"/>
    </row>
    <row r="63" spans="1:10" ht="13.5" customHeight="1" thickBot="1">
      <c r="A63" s="1761" t="s">
        <v>922</v>
      </c>
      <c r="B63" s="1762" t="s">
        <v>923</v>
      </c>
      <c r="C63" s="1763"/>
      <c r="D63" s="1763"/>
      <c r="E63" s="1763"/>
      <c r="F63" s="1763"/>
      <c r="G63" s="1763"/>
      <c r="H63" s="1763"/>
      <c r="I63" s="1759"/>
      <c r="J63" s="1766"/>
    </row>
    <row r="64" spans="1:10" ht="13.5" customHeight="1" thickBot="1">
      <c r="A64" s="1761" t="s">
        <v>924</v>
      </c>
      <c r="B64" s="1762" t="s">
        <v>925</v>
      </c>
      <c r="C64" s="1763"/>
      <c r="D64" s="1763"/>
      <c r="E64" s="1763"/>
      <c r="F64" s="1763"/>
      <c r="G64" s="1763"/>
      <c r="H64" s="1763"/>
      <c r="I64" s="1759"/>
      <c r="J64" s="1766"/>
    </row>
    <row r="65" spans="1:10" ht="13.5" customHeight="1" thickBot="1">
      <c r="A65" s="1761" t="s">
        <v>926</v>
      </c>
      <c r="B65" s="1762" t="s">
        <v>927</v>
      </c>
      <c r="C65" s="1763"/>
      <c r="D65" s="1763"/>
      <c r="E65" s="1763"/>
      <c r="F65" s="1763"/>
      <c r="G65" s="1763"/>
      <c r="H65" s="1763"/>
      <c r="I65" s="1759"/>
      <c r="J65" s="1767"/>
    </row>
    <row r="66" spans="1:10" ht="12.75" customHeight="1" thickBot="1">
      <c r="A66" s="1768" t="s">
        <v>928</v>
      </c>
      <c r="B66" s="1769"/>
      <c r="C66" s="1769"/>
      <c r="D66" s="1769"/>
      <c r="E66" s="1769"/>
      <c r="F66" s="1769"/>
      <c r="G66" s="1769"/>
      <c r="H66" s="1769"/>
      <c r="I66" s="1769"/>
      <c r="J66" s="1770"/>
    </row>
    <row r="67" spans="1:10" ht="18" customHeight="1" thickBot="1">
      <c r="A67" s="1771"/>
      <c r="B67" s="1772"/>
      <c r="C67" s="1773"/>
      <c r="D67" s="1773"/>
      <c r="E67" s="1773"/>
      <c r="F67" s="1773"/>
      <c r="G67" s="1773"/>
      <c r="H67" s="1773"/>
      <c r="I67" s="1773"/>
      <c r="J67" s="1774"/>
    </row>
    <row r="68" spans="1:10" ht="13.5" customHeight="1" thickBot="1">
      <c r="A68" s="1775" t="s">
        <v>337</v>
      </c>
      <c r="B68" s="1776"/>
      <c r="C68" s="1776"/>
      <c r="D68" s="1776"/>
      <c r="E68" s="1776"/>
      <c r="F68" s="1776"/>
      <c r="G68" s="1776"/>
      <c r="H68" s="1776"/>
      <c r="I68" s="1776"/>
      <c r="J68" s="1777"/>
    </row>
    <row r="69" spans="1:10" ht="13.5" customHeight="1">
      <c r="A69" s="1778" t="s">
        <v>291</v>
      </c>
      <c r="B69" s="1779"/>
      <c r="C69" s="1779"/>
      <c r="D69" s="1779"/>
      <c r="E69" s="1780"/>
      <c r="F69" s="1781"/>
      <c r="G69" s="1782"/>
      <c r="H69" s="1783">
        <v>0</v>
      </c>
      <c r="I69" s="1784"/>
      <c r="J69" s="1785"/>
    </row>
    <row r="70" spans="1:10" ht="13.5" customHeight="1">
      <c r="A70" s="1786" t="s">
        <v>929</v>
      </c>
      <c r="B70" s="1786"/>
      <c r="C70" s="1786"/>
      <c r="D70" s="1786"/>
      <c r="E70" s="1786"/>
      <c r="F70" s="1786"/>
      <c r="G70" s="1786"/>
      <c r="H70" s="1786"/>
      <c r="I70" s="1786"/>
      <c r="J70" s="1774"/>
    </row>
    <row r="71" spans="1:10" ht="13.5" customHeight="1" thickBot="1">
      <c r="A71" s="1771"/>
      <c r="B71" s="1771"/>
      <c r="C71" s="1771"/>
      <c r="D71" s="1771"/>
      <c r="E71" s="1771"/>
      <c r="F71" s="1771"/>
      <c r="G71" s="1771"/>
      <c r="H71" s="1787"/>
      <c r="I71" s="1787"/>
      <c r="J71" s="1787"/>
    </row>
    <row r="72" spans="1:10" ht="13.5" customHeight="1" thickBot="1">
      <c r="A72" s="1775" t="s">
        <v>930</v>
      </c>
      <c r="B72" s="1776"/>
      <c r="C72" s="1776"/>
      <c r="D72" s="1776"/>
      <c r="E72" s="1776"/>
      <c r="F72" s="1776"/>
      <c r="G72" s="1776"/>
      <c r="H72" s="1776"/>
      <c r="I72" s="1776"/>
      <c r="J72" s="1777"/>
    </row>
    <row r="73" spans="1:10" ht="13.5" customHeight="1">
      <c r="A73" s="1786" t="s">
        <v>929</v>
      </c>
      <c r="B73" s="1786"/>
      <c r="C73" s="1786"/>
      <c r="D73" s="1786"/>
      <c r="E73" s="1786"/>
      <c r="F73" s="1786"/>
      <c r="G73" s="1786"/>
      <c r="H73" s="1786"/>
      <c r="I73" s="1786"/>
      <c r="J73" s="1788"/>
    </row>
    <row r="74" spans="1:10" ht="13.5" customHeight="1">
      <c r="A74" s="1789"/>
      <c r="B74" s="1789"/>
      <c r="C74" s="1789"/>
      <c r="D74" s="1789"/>
      <c r="E74" s="1789"/>
      <c r="F74" s="1789"/>
      <c r="G74" s="1789"/>
      <c r="H74" s="1789"/>
      <c r="I74" s="1655"/>
      <c r="J74" s="1788"/>
    </row>
    <row r="75" spans="1:10" ht="13.5" customHeight="1">
      <c r="A75" s="1789"/>
      <c r="B75" s="1789"/>
      <c r="C75" s="1789"/>
      <c r="D75" s="1789"/>
      <c r="E75" s="1789"/>
      <c r="F75" s="1789"/>
      <c r="G75" s="1789"/>
      <c r="H75" s="1789"/>
      <c r="I75" s="1655"/>
      <c r="J75" s="1788"/>
    </row>
    <row r="76" spans="1:10" ht="13.5" customHeight="1">
      <c r="A76" s="1789"/>
      <c r="B76" s="1789"/>
      <c r="C76" s="1789"/>
      <c r="D76" s="1789"/>
      <c r="E76" s="1789"/>
      <c r="F76" s="1789"/>
      <c r="G76" s="1789"/>
      <c r="H76" s="1789"/>
      <c r="I76" s="1655"/>
      <c r="J76" s="1788"/>
    </row>
    <row r="77" spans="1:10" ht="13.5" customHeight="1">
      <c r="A77" s="1789"/>
      <c r="B77" s="1789"/>
      <c r="C77" s="1789"/>
      <c r="D77" s="1789"/>
      <c r="E77" s="1789"/>
      <c r="F77" s="1789"/>
      <c r="G77" s="1789"/>
      <c r="H77" s="1789"/>
      <c r="I77" s="1655"/>
      <c r="J77" s="1788"/>
    </row>
    <row r="78" spans="1:10" ht="13.5" customHeight="1">
      <c r="A78" s="1789"/>
      <c r="B78" s="1789"/>
      <c r="C78" s="1789"/>
      <c r="D78" s="1789"/>
      <c r="E78" s="1789"/>
      <c r="F78" s="1789"/>
      <c r="G78" s="1789"/>
      <c r="H78" s="1789"/>
      <c r="I78" s="1655"/>
      <c r="J78" s="1788"/>
    </row>
    <row r="79" spans="1:10" ht="13.5" customHeight="1">
      <c r="A79" s="1789"/>
      <c r="B79" s="1789"/>
      <c r="C79" s="1789"/>
      <c r="D79" s="1789"/>
      <c r="E79" s="1789"/>
      <c r="F79" s="1789"/>
      <c r="G79" s="1789"/>
      <c r="H79" s="1789"/>
      <c r="I79" s="1655"/>
      <c r="J79" s="1788"/>
    </row>
    <row r="80" spans="1:10" ht="13.5" customHeight="1">
      <c r="A80" s="1789"/>
      <c r="B80" s="1789"/>
      <c r="C80" s="1789"/>
      <c r="D80" s="1789"/>
      <c r="E80" s="1789"/>
      <c r="F80" s="1789"/>
      <c r="G80" s="1789"/>
      <c r="H80" s="1789"/>
      <c r="I80" s="1655"/>
      <c r="J80" s="1788"/>
    </row>
    <row r="81" spans="1:10" ht="13.5" customHeight="1">
      <c r="A81" s="1789"/>
      <c r="B81" s="1789"/>
      <c r="C81" s="1789"/>
      <c r="D81" s="1789"/>
      <c r="E81" s="1789"/>
      <c r="F81" s="1789"/>
      <c r="G81" s="1789"/>
      <c r="H81" s="1789"/>
      <c r="I81" s="1655"/>
      <c r="J81" s="1788"/>
    </row>
    <row r="82" spans="1:9" ht="12.75">
      <c r="A82" s="1789"/>
      <c r="B82" s="1789"/>
      <c r="C82" s="1789"/>
      <c r="D82" s="1789"/>
      <c r="E82" s="1789"/>
      <c r="F82" s="1789"/>
      <c r="G82" s="1789"/>
      <c r="H82" s="1789"/>
      <c r="I82" s="1655"/>
    </row>
    <row r="83" spans="1:9" ht="12.75">
      <c r="A83" s="1789"/>
      <c r="B83" s="1789"/>
      <c r="C83" s="1789"/>
      <c r="D83" s="1789"/>
      <c r="E83" s="1789"/>
      <c r="F83" s="1789"/>
      <c r="G83" s="1789"/>
      <c r="H83" s="1789"/>
      <c r="I83" s="1655"/>
    </row>
    <row r="86" ht="12.75" customHeight="1"/>
    <row r="87" ht="13.5" customHeight="1">
      <c r="A87" s="1790"/>
    </row>
    <row r="88" ht="13.5" customHeight="1">
      <c r="A88" s="1791"/>
    </row>
    <row r="89" ht="12.75">
      <c r="A89" s="1791"/>
    </row>
    <row r="90" ht="12.75">
      <c r="A90" s="1791"/>
    </row>
    <row r="91" ht="12.75">
      <c r="A91" s="1791"/>
    </row>
    <row r="92" ht="12.75">
      <c r="A92" s="1791"/>
    </row>
    <row r="93" ht="12.75">
      <c r="A93" s="1791"/>
    </row>
    <row r="94" ht="12.75">
      <c r="A94" s="1791"/>
    </row>
    <row r="95" ht="12.75">
      <c r="A95" s="1791"/>
    </row>
    <row r="96" ht="12.75">
      <c r="A96" s="1791"/>
    </row>
    <row r="97" ht="12.75">
      <c r="A97" s="1791"/>
    </row>
    <row r="98" ht="12.75">
      <c r="A98" s="1791"/>
    </row>
    <row r="99" ht="12.75">
      <c r="A99" s="1791"/>
    </row>
  </sheetData>
  <sheetProtection/>
  <mergeCells count="75">
    <mergeCell ref="A70:I70"/>
    <mergeCell ref="H71:J71"/>
    <mergeCell ref="A72:J72"/>
    <mergeCell ref="A73:I73"/>
    <mergeCell ref="B64:H64"/>
    <mergeCell ref="B65:H65"/>
    <mergeCell ref="A66:J66"/>
    <mergeCell ref="A68:J68"/>
    <mergeCell ref="A69:E69"/>
    <mergeCell ref="F69:G69"/>
    <mergeCell ref="A56:J56"/>
    <mergeCell ref="B57:J57"/>
    <mergeCell ref="B58:H58"/>
    <mergeCell ref="J58:J59"/>
    <mergeCell ref="B59:H59"/>
    <mergeCell ref="B60:H60"/>
    <mergeCell ref="J60:J65"/>
    <mergeCell ref="B61:H61"/>
    <mergeCell ref="B62:H62"/>
    <mergeCell ref="B63:H63"/>
    <mergeCell ref="A48:J48"/>
    <mergeCell ref="A50:J50"/>
    <mergeCell ref="A52:E52"/>
    <mergeCell ref="F52:J52"/>
    <mergeCell ref="A54:C54"/>
    <mergeCell ref="F54:J54"/>
    <mergeCell ref="A39:E39"/>
    <mergeCell ref="F39:J39"/>
    <mergeCell ref="A40:H40"/>
    <mergeCell ref="B41:D41"/>
    <mergeCell ref="A42:J42"/>
    <mergeCell ref="A44:E44"/>
    <mergeCell ref="F44:J44"/>
    <mergeCell ref="A32:E32"/>
    <mergeCell ref="F32:J32"/>
    <mergeCell ref="A34:J34"/>
    <mergeCell ref="A36:E36"/>
    <mergeCell ref="F36:J36"/>
    <mergeCell ref="B37:H37"/>
    <mergeCell ref="A29:E29"/>
    <mergeCell ref="F29:J29"/>
    <mergeCell ref="A30:E30"/>
    <mergeCell ref="F30:J30"/>
    <mergeCell ref="A31:E31"/>
    <mergeCell ref="F31:J31"/>
    <mergeCell ref="B22:D22"/>
    <mergeCell ref="B23:I23"/>
    <mergeCell ref="A25:E25"/>
    <mergeCell ref="F25:J25"/>
    <mergeCell ref="B26:D26"/>
    <mergeCell ref="B27:G27"/>
    <mergeCell ref="A19:E19"/>
    <mergeCell ref="F19:J19"/>
    <mergeCell ref="A20:E20"/>
    <mergeCell ref="F20:J20"/>
    <mergeCell ref="A21:E21"/>
    <mergeCell ref="F21:J21"/>
    <mergeCell ref="B15:F15"/>
    <mergeCell ref="H15:I15"/>
    <mergeCell ref="B16:I16"/>
    <mergeCell ref="B17:D17"/>
    <mergeCell ref="A18:E18"/>
    <mergeCell ref="F18:J18"/>
    <mergeCell ref="A10:E10"/>
    <mergeCell ref="G10:J14"/>
    <mergeCell ref="A11:E11"/>
    <mergeCell ref="A12:E12"/>
    <mergeCell ref="A13:E13"/>
    <mergeCell ref="A14:E14"/>
    <mergeCell ref="A4:H4"/>
    <mergeCell ref="A6:E6"/>
    <mergeCell ref="G6:J9"/>
    <mergeCell ref="A7:E7"/>
    <mergeCell ref="A8:E8"/>
    <mergeCell ref="A9:E9"/>
  </mergeCells>
  <dataValidations count="7">
    <dataValidation type="list" allowBlank="1" showInputMessage="1" showErrorMessage="1" sqref="F17">
      <formula1>$A$168:$A$169</formula1>
    </dataValidation>
    <dataValidation type="list" allowBlank="1" showInputMessage="1" showErrorMessage="1" sqref="F25">
      <formula1>$V$7:$V$10</formula1>
    </dataValidation>
    <dataValidation type="list" allowBlank="1" showInputMessage="1" showErrorMessage="1" sqref="F39:J39">
      <formula1>$Q$65:$Q$68</formula1>
    </dataValidation>
    <dataValidation type="list" allowBlank="1" showInputMessage="1" showErrorMessage="1" sqref="F52:J52">
      <formula1>$Q$65:$Q$66</formula1>
    </dataValidation>
    <dataValidation type="list" allowBlank="1" showInputMessage="1" showErrorMessage="1" sqref="I58:I65">
      <formula1>$Q$65:$Q$67</formula1>
    </dataValidation>
    <dataValidation type="list" allowBlank="1" showInputMessage="1" showErrorMessage="1" sqref="F69:G69">
      <formula1>$G$94:$G$100</formula1>
    </dataValidation>
    <dataValidation type="list" allowBlank="1" showInputMessage="1" showErrorMessage="1" promptTitle="TIPO de OBRA" sqref="A69">
      <formula1>$C$153:$C$260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CV137"/>
  <sheetViews>
    <sheetView zoomScale="85" zoomScaleNormal="85" zoomScalePageLayoutView="0" workbookViewId="0" topLeftCell="A1">
      <selection activeCell="BO65" sqref="BO65"/>
    </sheetView>
  </sheetViews>
  <sheetFormatPr defaultColWidth="11.421875" defaultRowHeight="12.75"/>
  <cols>
    <col min="1" max="1" width="0.71875" style="687" customWidth="1"/>
    <col min="2" max="27" width="2.57421875" style="687" customWidth="1"/>
    <col min="28" max="28" width="3.28125" style="687" customWidth="1"/>
    <col min="29" max="62" width="2.57421875" style="687" customWidth="1"/>
    <col min="63" max="63" width="4.00390625" style="687" customWidth="1"/>
    <col min="64" max="64" width="0.71875" style="687" customWidth="1"/>
    <col min="65" max="65" width="11.28125" style="687" customWidth="1"/>
    <col min="66" max="66" width="9.8515625" style="687" customWidth="1"/>
    <col min="67" max="67" width="7.421875" style="687" customWidth="1"/>
    <col min="68" max="68" width="11.28125" style="687" customWidth="1"/>
    <col min="69" max="69" width="5.7109375" style="687" customWidth="1"/>
    <col min="70" max="70" width="11.8515625" style="687" customWidth="1"/>
    <col min="71" max="71" width="11.140625" style="687" customWidth="1"/>
    <col min="72" max="72" width="6.7109375" style="687" customWidth="1"/>
    <col min="73" max="73" width="5.28125" style="687" customWidth="1"/>
    <col min="74" max="74" width="8.8515625" style="687" customWidth="1"/>
    <col min="75" max="75" width="7.28125" style="687" customWidth="1"/>
    <col min="76" max="76" width="7.421875" style="687" customWidth="1"/>
    <col min="77" max="77" width="12.8515625" style="687" customWidth="1"/>
    <col min="78" max="78" width="4.8515625" style="687" customWidth="1"/>
    <col min="79" max="79" width="13.140625" style="687" customWidth="1"/>
    <col min="80" max="80" width="13.8515625" style="687" customWidth="1"/>
    <col min="81" max="84" width="11.421875" style="687" customWidth="1"/>
    <col min="85" max="85" width="11.8515625" style="687" customWidth="1"/>
    <col min="86" max="86" width="8.57421875" style="687" customWidth="1"/>
    <col min="87" max="87" width="3.28125" style="687" customWidth="1"/>
    <col min="88" max="88" width="11.421875" style="687" customWidth="1"/>
    <col min="89" max="89" width="12.140625" style="687" customWidth="1"/>
    <col min="90" max="90" width="11.421875" style="687" customWidth="1"/>
    <col min="91" max="91" width="1.8515625" style="687" customWidth="1"/>
    <col min="92" max="16384" width="11.421875" style="687" customWidth="1"/>
  </cols>
  <sheetData>
    <row r="1" spans="1:78" ht="3.75" customHeight="1">
      <c r="A1" s="936"/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  <c r="O1" s="1219"/>
      <c r="P1" s="1219"/>
      <c r="Q1" s="1219"/>
      <c r="R1" s="1219"/>
      <c r="S1" s="1219"/>
      <c r="T1" s="1219"/>
      <c r="U1" s="1219"/>
      <c r="V1" s="1219"/>
      <c r="W1" s="1219"/>
      <c r="X1" s="1219"/>
      <c r="Y1" s="1219"/>
      <c r="Z1" s="1219"/>
      <c r="AA1" s="1219"/>
      <c r="AB1" s="1219"/>
      <c r="AC1" s="1219"/>
      <c r="AD1" s="1219"/>
      <c r="AE1" s="1219"/>
      <c r="AF1" s="1219"/>
      <c r="AG1" s="1219"/>
      <c r="AH1" s="1219"/>
      <c r="AI1" s="1219"/>
      <c r="AJ1" s="1219"/>
      <c r="AK1" s="1219"/>
      <c r="AL1" s="1219"/>
      <c r="AM1" s="1219"/>
      <c r="AN1" s="1219"/>
      <c r="AO1" s="1219"/>
      <c r="AP1" s="1219"/>
      <c r="AQ1" s="1219"/>
      <c r="AR1" s="1219"/>
      <c r="AS1" s="1219"/>
      <c r="AT1" s="1219"/>
      <c r="AU1" s="1219"/>
      <c r="AV1" s="1219"/>
      <c r="AW1" s="1219"/>
      <c r="AX1" s="1219"/>
      <c r="AY1" s="1219"/>
      <c r="AZ1" s="1219"/>
      <c r="BA1" s="1219"/>
      <c r="BB1" s="1219"/>
      <c r="BC1" s="1219"/>
      <c r="BD1" s="1219"/>
      <c r="BE1" s="1219"/>
      <c r="BF1" s="1219"/>
      <c r="BG1" s="1219"/>
      <c r="BH1" s="1219"/>
      <c r="BI1" s="1219"/>
      <c r="BJ1" s="1219"/>
      <c r="BK1" s="1219"/>
      <c r="BL1" s="937" t="s">
        <v>296</v>
      </c>
      <c r="BM1" s="688"/>
      <c r="BN1" s="689"/>
      <c r="BO1" s="689"/>
      <c r="BP1" s="689"/>
      <c r="BQ1" s="689"/>
      <c r="BR1" s="689"/>
      <c r="BS1" s="689"/>
      <c r="BT1" s="689"/>
      <c r="BU1" s="690"/>
      <c r="BV1" s="690"/>
      <c r="BW1" s="688"/>
      <c r="BX1" s="688"/>
      <c r="BY1" s="688"/>
      <c r="BZ1" s="688"/>
    </row>
    <row r="2" spans="1:100" ht="58.5" customHeight="1">
      <c r="A2" s="936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920"/>
      <c r="AM2" s="920"/>
      <c r="AN2" s="920"/>
      <c r="AO2" s="920"/>
      <c r="AP2" s="920"/>
      <c r="AQ2" s="920"/>
      <c r="AR2" s="920"/>
      <c r="AS2" s="920"/>
      <c r="AT2" s="920"/>
      <c r="AU2" s="920"/>
      <c r="AV2" s="920"/>
      <c r="AW2" s="920"/>
      <c r="AX2" s="920"/>
      <c r="AY2" s="920"/>
      <c r="AZ2" s="920"/>
      <c r="BA2" s="920"/>
      <c r="BB2" s="920"/>
      <c r="BC2" s="920"/>
      <c r="BD2" s="920"/>
      <c r="BE2" s="920"/>
      <c r="BF2" s="920"/>
      <c r="BG2" s="920"/>
      <c r="BH2" s="920"/>
      <c r="BI2" s="920"/>
      <c r="BJ2" s="920"/>
      <c r="BK2" s="920"/>
      <c r="BL2" s="937"/>
      <c r="BM2" s="688"/>
      <c r="BN2" s="689"/>
      <c r="BO2" s="689"/>
      <c r="BP2" s="689"/>
      <c r="BQ2" s="689"/>
      <c r="BR2" s="689"/>
      <c r="BS2" s="689"/>
      <c r="BT2" s="689"/>
      <c r="BU2" s="690"/>
      <c r="BV2" s="690"/>
      <c r="BW2" s="688"/>
      <c r="BX2" s="688"/>
      <c r="BY2" s="688"/>
      <c r="BZ2" s="688"/>
      <c r="CR2" s="691"/>
      <c r="CS2" s="691"/>
      <c r="CU2" s="692"/>
      <c r="CV2" s="693"/>
    </row>
    <row r="3" spans="1:78" ht="48.75" customHeight="1">
      <c r="A3" s="936"/>
      <c r="K3" s="920"/>
      <c r="L3" s="920"/>
      <c r="M3" s="921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920"/>
      <c r="AH3" s="920"/>
      <c r="AI3" s="920"/>
      <c r="AJ3" s="920"/>
      <c r="AK3" s="920"/>
      <c r="AL3" s="920"/>
      <c r="AM3" s="920"/>
      <c r="AN3" s="920"/>
      <c r="AO3" s="920"/>
      <c r="AP3" s="920"/>
      <c r="AQ3" s="920"/>
      <c r="AR3" s="920"/>
      <c r="AS3" s="920"/>
      <c r="AT3" s="920"/>
      <c r="AU3" s="920"/>
      <c r="AV3" s="920"/>
      <c r="AW3" s="920"/>
      <c r="AX3" s="920"/>
      <c r="AY3" s="920"/>
      <c r="AZ3" s="920"/>
      <c r="BA3" s="920"/>
      <c r="BB3" s="920"/>
      <c r="BC3" s="920"/>
      <c r="BD3" s="920"/>
      <c r="BE3" s="920"/>
      <c r="BF3" s="920"/>
      <c r="BG3" s="920"/>
      <c r="BH3" s="920"/>
      <c r="BI3" s="920"/>
      <c r="BJ3" s="920"/>
      <c r="BK3" s="920"/>
      <c r="BL3" s="937"/>
      <c r="BM3" s="688"/>
      <c r="BN3" s="689"/>
      <c r="BO3" s="689"/>
      <c r="BP3" s="689"/>
      <c r="BQ3" s="689"/>
      <c r="BR3" s="689"/>
      <c r="BS3" s="689"/>
      <c r="BT3" s="689"/>
      <c r="BU3" s="690"/>
      <c r="BV3" s="690"/>
      <c r="BW3" s="688"/>
      <c r="BX3" s="688"/>
      <c r="BY3" s="688"/>
      <c r="BZ3" s="688"/>
    </row>
    <row r="4" spans="1:78" ht="19.5" customHeight="1">
      <c r="A4" s="936"/>
      <c r="G4" s="687" t="s">
        <v>561</v>
      </c>
      <c r="K4" s="920"/>
      <c r="L4" s="920"/>
      <c r="M4" s="921"/>
      <c r="N4" s="46"/>
      <c r="O4" s="50"/>
      <c r="P4" s="922"/>
      <c r="Q4" s="46"/>
      <c r="R4" s="922"/>
      <c r="S4" s="922"/>
      <c r="T4" s="922"/>
      <c r="U4" s="922"/>
      <c r="V4" s="922"/>
      <c r="W4" s="50"/>
      <c r="X4" s="46"/>
      <c r="Y4" s="46"/>
      <c r="Z4" s="46"/>
      <c r="AA4" s="46"/>
      <c r="AB4" s="46"/>
      <c r="AC4" s="46"/>
      <c r="AD4" s="46"/>
      <c r="AE4" s="46"/>
      <c r="AF4" s="46"/>
      <c r="AG4" s="920"/>
      <c r="AH4" s="920"/>
      <c r="AI4" s="920"/>
      <c r="AJ4" s="920"/>
      <c r="AK4" s="920"/>
      <c r="AL4" s="920"/>
      <c r="AM4" s="920"/>
      <c r="AN4" s="920"/>
      <c r="AO4" s="920"/>
      <c r="AP4" s="920"/>
      <c r="AQ4" s="920"/>
      <c r="AR4" s="920"/>
      <c r="AS4" s="920"/>
      <c r="AT4" s="920"/>
      <c r="AU4" s="920"/>
      <c r="AV4" s="920"/>
      <c r="AW4" s="920"/>
      <c r="AX4" s="920"/>
      <c r="AY4" s="920"/>
      <c r="AZ4" s="920"/>
      <c r="BA4" s="920"/>
      <c r="BB4" s="920"/>
      <c r="BC4" s="920"/>
      <c r="BD4" s="920"/>
      <c r="BE4" s="920"/>
      <c r="BF4" s="920"/>
      <c r="BG4" s="920"/>
      <c r="BH4" s="920"/>
      <c r="BI4" s="920"/>
      <c r="BJ4" s="920"/>
      <c r="BK4" s="920"/>
      <c r="BL4" s="937"/>
      <c r="BZ4" s="688"/>
    </row>
    <row r="5" spans="1:78" ht="23.25" customHeight="1">
      <c r="A5" s="936"/>
      <c r="K5" s="920"/>
      <c r="L5" s="920"/>
      <c r="M5" s="46"/>
      <c r="N5" s="46"/>
      <c r="O5" s="50"/>
      <c r="P5" s="921"/>
      <c r="Q5" s="923"/>
      <c r="R5" s="923"/>
      <c r="S5" s="923"/>
      <c r="T5" s="923"/>
      <c r="U5" s="46"/>
      <c r="V5" s="924"/>
      <c r="W5" s="924"/>
      <c r="X5" s="924"/>
      <c r="Z5" s="924"/>
      <c r="AA5" s="924"/>
      <c r="AB5" s="924"/>
      <c r="AC5" s="924"/>
      <c r="AD5" s="924"/>
      <c r="AE5" s="46"/>
      <c r="AF5" s="46"/>
      <c r="AG5" s="920"/>
      <c r="AH5" s="920"/>
      <c r="AI5" s="920"/>
      <c r="AJ5" s="920"/>
      <c r="AK5" s="920"/>
      <c r="AL5" s="920"/>
      <c r="AM5" s="920"/>
      <c r="AN5" s="920"/>
      <c r="AO5" s="920"/>
      <c r="AP5" s="920"/>
      <c r="AQ5" s="920"/>
      <c r="AR5" s="920"/>
      <c r="AS5" s="920"/>
      <c r="AT5" s="920"/>
      <c r="AU5" s="920"/>
      <c r="AV5" s="920"/>
      <c r="AW5" s="920"/>
      <c r="AX5" s="920"/>
      <c r="AY5" s="920"/>
      <c r="AZ5" s="920"/>
      <c r="BA5" s="920"/>
      <c r="BB5" s="920"/>
      <c r="BC5" s="920"/>
      <c r="BD5" s="920"/>
      <c r="BE5" s="920"/>
      <c r="BF5" s="920"/>
      <c r="BG5" s="920"/>
      <c r="BH5" s="920"/>
      <c r="BI5" s="920"/>
      <c r="BJ5" s="920"/>
      <c r="BK5" s="920"/>
      <c r="BL5" s="937"/>
      <c r="BM5" s="688"/>
      <c r="BN5" s="688"/>
      <c r="BO5" s="688"/>
      <c r="BP5" s="688"/>
      <c r="BQ5" s="688"/>
      <c r="BR5" s="688"/>
      <c r="BS5" s="688"/>
      <c r="BT5" s="688"/>
      <c r="BU5" s="688"/>
      <c r="BV5" s="688"/>
      <c r="BW5" s="688"/>
      <c r="BX5" s="688"/>
      <c r="BY5" s="688"/>
      <c r="BZ5" s="688"/>
    </row>
    <row r="6" spans="1:94" ht="27.75" customHeight="1">
      <c r="A6" s="936"/>
      <c r="C6" s="925"/>
      <c r="D6" s="925"/>
      <c r="E6" s="925"/>
      <c r="F6" s="925"/>
      <c r="G6" s="925"/>
      <c r="H6" s="925"/>
      <c r="I6" s="925"/>
      <c r="J6" s="925"/>
      <c r="K6" s="925"/>
      <c r="L6" s="925" t="s">
        <v>875</v>
      </c>
      <c r="M6" s="925"/>
      <c r="N6" s="925"/>
      <c r="O6" s="925"/>
      <c r="P6" s="925"/>
      <c r="Q6" s="925"/>
      <c r="R6" s="925"/>
      <c r="S6" s="925"/>
      <c r="T6" s="925"/>
      <c r="U6" s="925"/>
      <c r="V6" s="925"/>
      <c r="W6" s="925"/>
      <c r="X6" s="925"/>
      <c r="Y6" s="925"/>
      <c r="Z6" s="925"/>
      <c r="AA6" s="925"/>
      <c r="AB6" s="925"/>
      <c r="AC6" s="925"/>
      <c r="AD6" s="925"/>
      <c r="AE6" s="925"/>
      <c r="AF6" s="925"/>
      <c r="AG6" s="925"/>
      <c r="AH6" s="925"/>
      <c r="AI6" s="925"/>
      <c r="AJ6" s="925"/>
      <c r="AK6" s="925"/>
      <c r="AL6" s="925"/>
      <c r="AM6" s="925"/>
      <c r="AN6" s="925"/>
      <c r="AO6" s="925"/>
      <c r="AP6" s="925"/>
      <c r="AQ6" s="925"/>
      <c r="AR6" s="925"/>
      <c r="AS6" s="925"/>
      <c r="AT6" s="925"/>
      <c r="AU6" s="925"/>
      <c r="AV6" s="925"/>
      <c r="AW6" s="925"/>
      <c r="AX6" s="925"/>
      <c r="AY6" s="925"/>
      <c r="AZ6" s="925"/>
      <c r="BA6" s="925"/>
      <c r="BB6" s="925"/>
      <c r="BC6" s="925"/>
      <c r="BD6" s="925"/>
      <c r="BE6" s="925"/>
      <c r="BF6" s="925"/>
      <c r="BG6" s="925"/>
      <c r="BH6" s="925"/>
      <c r="BI6" s="925"/>
      <c r="BJ6" s="925"/>
      <c r="BK6" s="925"/>
      <c r="BL6" s="937"/>
      <c r="BM6" s="694"/>
      <c r="BO6" s="695"/>
      <c r="BP6" s="695"/>
      <c r="BQ6" s="695"/>
      <c r="BR6" s="695"/>
      <c r="BS6" s="695"/>
      <c r="BT6" s="695"/>
      <c r="BU6" s="695"/>
      <c r="BV6" s="695"/>
      <c r="BW6" s="695"/>
      <c r="BX6" s="695"/>
      <c r="BY6" s="688"/>
      <c r="BZ6" s="688"/>
      <c r="CP6" s="688"/>
    </row>
    <row r="7" spans="1:94" ht="19.5" customHeight="1">
      <c r="A7" s="936"/>
      <c r="B7" s="696" t="s">
        <v>46</v>
      </c>
      <c r="H7" s="1247" t="str">
        <f>'INGRESO DE DATOS'!$G$4</f>
        <v>#</v>
      </c>
      <c r="I7" s="1247"/>
      <c r="J7" s="1247"/>
      <c r="K7" s="1247"/>
      <c r="L7" s="1247"/>
      <c r="M7" s="1247"/>
      <c r="N7" s="1247"/>
      <c r="O7" s="1247"/>
      <c r="P7" s="1247"/>
      <c r="Q7" s="1247"/>
      <c r="R7" s="1247"/>
      <c r="S7" s="1247"/>
      <c r="T7" s="1247"/>
      <c r="U7" s="1247"/>
      <c r="V7" s="1247"/>
      <c r="W7" s="1247"/>
      <c r="X7" s="1247"/>
      <c r="Y7" s="1247"/>
      <c r="Z7" s="1247"/>
      <c r="AA7" s="1247"/>
      <c r="AB7" s="1247"/>
      <c r="AC7" s="697" t="s">
        <v>617</v>
      </c>
      <c r="AE7" s="698"/>
      <c r="AF7" s="1299" t="str">
        <f>'INGRESO DE DATOS'!$G$5</f>
        <v>#</v>
      </c>
      <c r="AG7" s="1299"/>
      <c r="AH7" s="1299"/>
      <c r="AI7" s="1299"/>
      <c r="AJ7" s="1299"/>
      <c r="AK7" s="1299"/>
      <c r="AL7" s="1299"/>
      <c r="AM7" s="1299"/>
      <c r="AN7" s="1299"/>
      <c r="AO7" s="1299"/>
      <c r="AP7" s="1299"/>
      <c r="AQ7" s="1299"/>
      <c r="AR7" s="1299"/>
      <c r="AS7" s="1299"/>
      <c r="AT7" s="1299"/>
      <c r="AU7" s="1299"/>
      <c r="AV7" s="1299"/>
      <c r="AW7" s="1299"/>
      <c r="AX7" s="1299"/>
      <c r="AY7" s="1299"/>
      <c r="AZ7" s="1299"/>
      <c r="BA7" s="1299"/>
      <c r="BB7" s="1299"/>
      <c r="BC7" s="1298"/>
      <c r="BD7" s="1298"/>
      <c r="BE7" s="1298"/>
      <c r="BF7" s="1298"/>
      <c r="BG7" s="1246" t="s">
        <v>47</v>
      </c>
      <c r="BH7" s="1246"/>
      <c r="BI7" s="1246"/>
      <c r="BJ7" s="1252"/>
      <c r="BK7" s="1252"/>
      <c r="BL7" s="937"/>
      <c r="BO7" s="700"/>
      <c r="BZ7" s="701"/>
      <c r="CP7" s="688"/>
    </row>
    <row r="8" spans="1:94" ht="19.5" customHeight="1">
      <c r="A8" s="936"/>
      <c r="B8" s="1301" t="str">
        <f>'INGRESO DE DATOS'!$G$6</f>
        <v>#</v>
      </c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301"/>
      <c r="X8" s="1301"/>
      <c r="Y8" s="1301"/>
      <c r="Z8" s="1301"/>
      <c r="AA8" s="1301"/>
      <c r="AB8" s="1301"/>
      <c r="AC8" s="1301"/>
      <c r="AD8" s="1301"/>
      <c r="AE8" s="1301"/>
      <c r="AF8" s="1301"/>
      <c r="AG8" s="1301"/>
      <c r="AH8" s="1301"/>
      <c r="AI8" s="1301"/>
      <c r="AJ8" s="1301"/>
      <c r="AK8" s="1301"/>
      <c r="AL8" s="1301"/>
      <c r="AM8" s="1301"/>
      <c r="AN8" s="1301"/>
      <c r="AO8" s="1301"/>
      <c r="AP8" s="1301"/>
      <c r="AQ8" s="1301"/>
      <c r="AR8" s="1301"/>
      <c r="AS8" s="1301"/>
      <c r="AT8" s="1301"/>
      <c r="AU8" s="1301"/>
      <c r="AV8" s="1301"/>
      <c r="AW8" s="1301"/>
      <c r="AX8" s="1245" t="s">
        <v>322</v>
      </c>
      <c r="AY8" s="1245"/>
      <c r="AZ8" s="1245"/>
      <c r="BA8" s="1300" t="str">
        <f>'INGRESO DE DATOS'!$G$7</f>
        <v>#</v>
      </c>
      <c r="BB8" s="1300"/>
      <c r="BC8" s="1300"/>
      <c r="BD8" s="1300"/>
      <c r="BE8" s="1300"/>
      <c r="BF8" s="1300"/>
      <c r="BG8" s="1300"/>
      <c r="BH8" s="1300"/>
      <c r="BI8" s="1300"/>
      <c r="BJ8" s="1300"/>
      <c r="BL8" s="937"/>
      <c r="BS8" s="702"/>
      <c r="BT8" s="702"/>
      <c r="BZ8" s="691"/>
      <c r="CP8" s="688"/>
    </row>
    <row r="9" spans="1:94" ht="19.5" customHeight="1">
      <c r="A9" s="936"/>
      <c r="B9" s="1246" t="s">
        <v>323</v>
      </c>
      <c r="C9" s="1246"/>
      <c r="D9" s="1246"/>
      <c r="E9" s="1246"/>
      <c r="F9" s="1246"/>
      <c r="G9" s="1246"/>
      <c r="H9" s="1246"/>
      <c r="I9" s="1246"/>
      <c r="J9" s="1248" t="str">
        <f>'INGRESO DE DATOS'!$G$10</f>
        <v>#</v>
      </c>
      <c r="K9" s="1248"/>
      <c r="L9" s="1248"/>
      <c r="M9" s="1248"/>
      <c r="N9" s="1248"/>
      <c r="O9" s="1248"/>
      <c r="P9" s="1248"/>
      <c r="Q9" s="1248"/>
      <c r="R9" s="1248"/>
      <c r="S9" s="1248"/>
      <c r="T9" s="1248"/>
      <c r="U9" s="1248"/>
      <c r="V9" s="1248"/>
      <c r="W9" s="1248"/>
      <c r="X9" s="1248"/>
      <c r="Y9" s="1248"/>
      <c r="Z9" s="1248"/>
      <c r="AA9" s="1248"/>
      <c r="AB9" s="703" t="s">
        <v>670</v>
      </c>
      <c r="AC9" s="1266" t="str">
        <f>'INGRESO DE DATOS'!$G$11</f>
        <v>#</v>
      </c>
      <c r="AD9" s="1267"/>
      <c r="AE9" s="1267"/>
      <c r="AF9" s="1267"/>
      <c r="AG9" s="1248" t="str">
        <f>'INGRESO DE DATOS'!$G$12</f>
        <v>#</v>
      </c>
      <c r="AH9" s="1248"/>
      <c r="AI9" s="1248"/>
      <c r="AJ9" s="1248"/>
      <c r="AK9" s="1248"/>
      <c r="AL9" s="1248"/>
      <c r="AM9" s="1248"/>
      <c r="AN9" s="1248"/>
      <c r="AO9" s="1248"/>
      <c r="AP9" s="1248"/>
      <c r="AQ9" s="1246" t="s">
        <v>359</v>
      </c>
      <c r="AR9" s="1246"/>
      <c r="AS9" s="1246"/>
      <c r="AT9" s="1246"/>
      <c r="AU9" s="1248" t="str">
        <f>'INGRESO DE DATOS'!$G$15</f>
        <v>#</v>
      </c>
      <c r="AV9" s="1248"/>
      <c r="AW9" s="1248"/>
      <c r="AX9" s="1248"/>
      <c r="AY9" s="1248"/>
      <c r="AZ9" s="1248"/>
      <c r="BA9" s="1248"/>
      <c r="BB9" s="1248"/>
      <c r="BC9" s="1248"/>
      <c r="BD9" s="1248"/>
      <c r="BE9" s="1248"/>
      <c r="BF9" s="1248"/>
      <c r="BG9" s="1248"/>
      <c r="BH9" s="1248"/>
      <c r="BI9" s="1248"/>
      <c r="BJ9" s="1248"/>
      <c r="BK9" s="704"/>
      <c r="BL9" s="937"/>
      <c r="BM9" s="704"/>
      <c r="BN9" s="704"/>
      <c r="BO9" s="704"/>
      <c r="BP9" s="704"/>
      <c r="BS9" s="702"/>
      <c r="BT9" s="702"/>
      <c r="BZ9" s="691"/>
      <c r="CP9" s="688"/>
    </row>
    <row r="10" spans="1:94" ht="19.5" customHeight="1">
      <c r="A10" s="936"/>
      <c r="B10" s="705" t="s">
        <v>360</v>
      </c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1260" t="str">
        <f>'INGRESO DE DATOS'!$G$16</f>
        <v>#</v>
      </c>
      <c r="O10" s="1260"/>
      <c r="P10" s="1260"/>
      <c r="Q10" s="1260"/>
      <c r="R10" s="1260"/>
      <c r="S10" s="1260"/>
      <c r="T10" s="1260"/>
      <c r="U10" s="1260"/>
      <c r="V10" s="1260"/>
      <c r="W10" s="1260"/>
      <c r="X10" s="1260"/>
      <c r="Y10" s="1260"/>
      <c r="Z10" s="1260"/>
      <c r="AA10" s="1260"/>
      <c r="AB10" s="1260"/>
      <c r="AC10" s="1260"/>
      <c r="AD10" s="1260"/>
      <c r="AE10" s="1260"/>
      <c r="AF10" s="1260"/>
      <c r="AG10" s="1260"/>
      <c r="AH10" s="1260"/>
      <c r="AI10" s="1260"/>
      <c r="AJ10" s="1260"/>
      <c r="AK10" s="1260"/>
      <c r="AL10" s="1260"/>
      <c r="AM10" s="1260"/>
      <c r="AN10" s="1260"/>
      <c r="AO10" s="1260"/>
      <c r="AP10" s="1260"/>
      <c r="AQ10" s="1271" t="s">
        <v>324</v>
      </c>
      <c r="AR10" s="1271"/>
      <c r="AS10" s="1271"/>
      <c r="AT10" s="1260" t="str">
        <f>'INGRESO DE DATOS'!$G$17</f>
        <v>#</v>
      </c>
      <c r="AU10" s="1260"/>
      <c r="AV10" s="1260"/>
      <c r="AW10" s="1260"/>
      <c r="AX10" s="1260"/>
      <c r="AY10" s="1260"/>
      <c r="AZ10" s="1260"/>
      <c r="BA10" s="1260"/>
      <c r="BB10" s="697" t="s">
        <v>48</v>
      </c>
      <c r="BF10" s="699"/>
      <c r="BG10" s="699"/>
      <c r="BL10" s="937"/>
      <c r="BZ10" s="706"/>
      <c r="CP10" s="688"/>
    </row>
    <row r="11" spans="1:94" ht="19.5" customHeight="1">
      <c r="A11" s="936"/>
      <c r="B11" s="1260" t="str">
        <f>'INGRESO DE DATOS'!$G$18</f>
        <v>#</v>
      </c>
      <c r="C11" s="1260"/>
      <c r="D11" s="1260"/>
      <c r="E11" s="1260"/>
      <c r="F11" s="1260"/>
      <c r="G11" s="1260"/>
      <c r="H11" s="1260"/>
      <c r="I11" s="1260"/>
      <c r="J11" s="1260"/>
      <c r="K11" s="1260"/>
      <c r="L11" s="1260"/>
      <c r="M11" s="1260"/>
      <c r="N11" s="1260"/>
      <c r="O11" s="1260"/>
      <c r="P11" s="1260"/>
      <c r="Q11" s="1260"/>
      <c r="R11" s="1260"/>
      <c r="S11" s="1260"/>
      <c r="T11" s="697" t="s">
        <v>361</v>
      </c>
      <c r="AE11" s="1260" t="str">
        <f>'INGRESO DE DATOS'!$G$19</f>
        <v>#</v>
      </c>
      <c r="AF11" s="1260"/>
      <c r="AG11" s="1260"/>
      <c r="AH11" s="1260"/>
      <c r="AI11" s="1260"/>
      <c r="AJ11" s="1246" t="s">
        <v>362</v>
      </c>
      <c r="AK11" s="1246"/>
      <c r="AL11" s="1246"/>
      <c r="AM11" s="1246"/>
      <c r="AN11" s="1246"/>
      <c r="AO11" s="1246"/>
      <c r="AP11" s="1246"/>
      <c r="AQ11" s="1260" t="str">
        <f>'INGRESO DE DATOS'!$G$21</f>
        <v>#</v>
      </c>
      <c r="AR11" s="1260"/>
      <c r="AS11" s="1260"/>
      <c r="AT11" s="1260"/>
      <c r="AU11" s="1260"/>
      <c r="AV11" s="1260"/>
      <c r="AW11" s="1260"/>
      <c r="AX11" s="1260"/>
      <c r="AY11" s="1260"/>
      <c r="AZ11" s="1260"/>
      <c r="BA11" s="1260"/>
      <c r="BB11" s="1260"/>
      <c r="BC11" s="1260"/>
      <c r="BD11" s="1260"/>
      <c r="BE11" s="1260"/>
      <c r="BF11" s="1260"/>
      <c r="BG11" s="1260"/>
      <c r="BH11" s="1260"/>
      <c r="BI11" s="1260"/>
      <c r="BJ11" s="1260"/>
      <c r="BL11" s="937"/>
      <c r="BO11" s="693"/>
      <c r="BR11" s="691"/>
      <c r="BZ11" s="707"/>
      <c r="CP11" s="688"/>
    </row>
    <row r="12" spans="1:94" ht="19.5" customHeight="1">
      <c r="A12" s="936"/>
      <c r="B12" s="697" t="s">
        <v>325</v>
      </c>
      <c r="J12" s="1272" t="str">
        <f>'INGRESO DE DATOS'!$G$22</f>
        <v>#</v>
      </c>
      <c r="K12" s="1272"/>
      <c r="L12" s="1272"/>
      <c r="M12" s="1272"/>
      <c r="N12" s="1272"/>
      <c r="O12" s="1272"/>
      <c r="P12" s="1272"/>
      <c r="Q12" s="1272"/>
      <c r="R12" s="1272"/>
      <c r="S12" s="1272"/>
      <c r="T12" s="1272"/>
      <c r="U12" s="1272"/>
      <c r="V12" s="1272"/>
      <c r="W12" s="1272"/>
      <c r="X12" s="1272"/>
      <c r="Y12" s="1272"/>
      <c r="Z12" s="1272"/>
      <c r="AA12" s="1272"/>
      <c r="AB12" s="1272"/>
      <c r="AC12" s="1272"/>
      <c r="AD12" s="1272"/>
      <c r="AE12" s="1272"/>
      <c r="AF12" s="1272"/>
      <c r="AG12" s="1272"/>
      <c r="AH12" s="1272"/>
      <c r="AI12" s="1272"/>
      <c r="AJ12" s="1271" t="s">
        <v>381</v>
      </c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937"/>
      <c r="BX12" s="691"/>
      <c r="CP12" s="688"/>
    </row>
    <row r="13" spans="1:94" ht="31.5" customHeight="1">
      <c r="A13" s="936"/>
      <c r="B13" s="1244" t="s">
        <v>364</v>
      </c>
      <c r="C13" s="1244"/>
      <c r="D13" s="1244"/>
      <c r="E13" s="1244"/>
      <c r="F13" s="1244"/>
      <c r="G13" s="1245" t="s">
        <v>377</v>
      </c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5"/>
      <c r="X13" s="1245"/>
      <c r="Y13" s="1245"/>
      <c r="Z13" s="1245"/>
      <c r="AA13" s="1245"/>
      <c r="AB13" s="1303" t="str">
        <f>'INGRESO DE DATOS'!$X$67</f>
        <v>            </v>
      </c>
      <c r="AC13" s="1303"/>
      <c r="AD13" s="1303"/>
      <c r="AE13" s="1303"/>
      <c r="AF13" s="1303"/>
      <c r="AG13" s="1303"/>
      <c r="AH13" s="1303"/>
      <c r="AI13" s="1303"/>
      <c r="AJ13" s="1303"/>
      <c r="AK13" s="1303"/>
      <c r="AL13" s="1303"/>
      <c r="AM13" s="1303"/>
      <c r="AN13" s="1303"/>
      <c r="AO13" s="1303"/>
      <c r="AP13" s="1303"/>
      <c r="AQ13" s="1303"/>
      <c r="AR13" s="1303"/>
      <c r="AS13" s="1303"/>
      <c r="AT13" s="1303"/>
      <c r="AU13" s="1303"/>
      <c r="AV13" s="1303"/>
      <c r="AW13" s="1303"/>
      <c r="AX13" s="1303"/>
      <c r="AY13" s="1303"/>
      <c r="AZ13" s="1303"/>
      <c r="BA13" s="1303"/>
      <c r="BB13" s="1303"/>
      <c r="BC13" s="1303"/>
      <c r="BD13" s="1303"/>
      <c r="BE13" s="1303"/>
      <c r="BF13" s="1303"/>
      <c r="BG13" s="1303"/>
      <c r="BH13" s="1303"/>
      <c r="BI13" s="1303"/>
      <c r="BJ13" s="1303"/>
      <c r="BK13" s="1303"/>
      <c r="BL13" s="937"/>
      <c r="BU13" s="688"/>
      <c r="BV13" s="688"/>
      <c r="BW13" s="688"/>
      <c r="BX13" s="688"/>
      <c r="BY13" s="688"/>
      <c r="BZ13" s="688"/>
      <c r="CP13" s="688"/>
    </row>
    <row r="14" spans="1:65" ht="19.5" customHeight="1">
      <c r="A14" s="936"/>
      <c r="B14" s="709" t="s">
        <v>357</v>
      </c>
      <c r="C14" s="699"/>
      <c r="G14" s="69"/>
      <c r="H14" s="69"/>
      <c r="I14" s="69"/>
      <c r="K14" s="699"/>
      <c r="L14" s="699"/>
      <c r="M14" s="1291" t="str">
        <f>'INGRESO DE DATOS'!$G$23</f>
        <v>#</v>
      </c>
      <c r="N14" s="1291"/>
      <c r="O14" s="1291"/>
      <c r="P14" s="1291"/>
      <c r="Q14" s="1291"/>
      <c r="R14" s="1291"/>
      <c r="S14" s="1291"/>
      <c r="T14" s="1291"/>
      <c r="U14" s="1291"/>
      <c r="V14" s="1291"/>
      <c r="W14" s="1291"/>
      <c r="X14" s="1291"/>
      <c r="Y14" s="1291"/>
      <c r="Z14" s="1291"/>
      <c r="AA14" s="1291"/>
      <c r="AB14" s="1291"/>
      <c r="AC14" s="1291"/>
      <c r="AD14" s="1291"/>
      <c r="AE14" s="1291"/>
      <c r="AF14" s="1291"/>
      <c r="AG14" s="1260" t="str">
        <f>'INGRESO DE DATOS'!$G$24</f>
        <v>#</v>
      </c>
      <c r="AH14" s="1260"/>
      <c r="AI14" s="1260"/>
      <c r="AJ14" s="1260"/>
      <c r="AK14" s="1271" t="s">
        <v>326</v>
      </c>
      <c r="AL14" s="1271"/>
      <c r="AM14" s="1271"/>
      <c r="AN14" s="1271"/>
      <c r="AO14" s="1271"/>
      <c r="AP14" s="1271"/>
      <c r="AQ14" s="1302" t="str">
        <f>'INGRESO DE DATOS'!$G$26</f>
        <v>#</v>
      </c>
      <c r="AR14" s="1302"/>
      <c r="AS14" s="1302"/>
      <c r="AT14" s="1302"/>
      <c r="AU14" s="1302"/>
      <c r="AV14" s="1302"/>
      <c r="AW14" s="1302"/>
      <c r="AX14" s="1302"/>
      <c r="AY14" s="1302"/>
      <c r="AZ14" s="1302"/>
      <c r="BA14" s="1302"/>
      <c r="BB14" s="1302"/>
      <c r="BC14" s="1302"/>
      <c r="BD14" s="1302"/>
      <c r="BE14" s="1302"/>
      <c r="BF14" s="1302"/>
      <c r="BG14" s="1302"/>
      <c r="BH14" s="1302"/>
      <c r="BI14" s="1302"/>
      <c r="BJ14" s="1302"/>
      <c r="BL14" s="937"/>
      <c r="BM14" s="708"/>
    </row>
    <row r="15" spans="1:64" ht="19.5" customHeight="1" thickBot="1">
      <c r="A15" s="936"/>
      <c r="B15" s="1246" t="s">
        <v>358</v>
      </c>
      <c r="C15" s="1246"/>
      <c r="D15" s="1246"/>
      <c r="E15" s="1246"/>
      <c r="F15" s="1256" t="str">
        <f>'INGRESO DE DATOS'!$G$27</f>
        <v>#</v>
      </c>
      <c r="G15" s="1256"/>
      <c r="H15" s="1256"/>
      <c r="I15" s="1256"/>
      <c r="J15" s="1256"/>
      <c r="K15" s="1256"/>
      <c r="L15" s="1256"/>
      <c r="M15" s="1256"/>
      <c r="N15" s="1256"/>
      <c r="O15" s="1256"/>
      <c r="P15" s="1256"/>
      <c r="Q15" s="1256"/>
      <c r="R15" s="1256"/>
      <c r="S15" s="1256"/>
      <c r="T15" s="1256"/>
      <c r="U15" s="1256"/>
      <c r="V15" s="1256"/>
      <c r="W15" s="1256"/>
      <c r="X15" s="1256"/>
      <c r="Y15" s="1256"/>
      <c r="Z15" s="1256"/>
      <c r="AA15" s="1256"/>
      <c r="AB15" s="1256"/>
      <c r="AC15" s="1256"/>
      <c r="AD15" s="702"/>
      <c r="AE15" s="710"/>
      <c r="AF15" s="710"/>
      <c r="AG15" s="710"/>
      <c r="AH15" s="710"/>
      <c r="AI15" s="710"/>
      <c r="AJ15" s="710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62"/>
      <c r="AW15" s="762"/>
      <c r="AX15" s="762"/>
      <c r="AY15" s="762"/>
      <c r="AZ15" s="706"/>
      <c r="BA15" s="706"/>
      <c r="BB15" s="706"/>
      <c r="BC15" s="706"/>
      <c r="BD15" s="706"/>
      <c r="BE15" s="706"/>
      <c r="BF15" s="706"/>
      <c r="BG15" s="706"/>
      <c r="BH15" s="706"/>
      <c r="BI15" s="706"/>
      <c r="BJ15" s="706"/>
      <c r="BL15" s="937"/>
    </row>
    <row r="16" spans="1:94" ht="19.5" customHeight="1">
      <c r="A16" s="936"/>
      <c r="B16" s="1292" t="s">
        <v>825</v>
      </c>
      <c r="C16" s="1293"/>
      <c r="D16" s="1293"/>
      <c r="E16" s="1293"/>
      <c r="F16" s="1293"/>
      <c r="G16" s="1294"/>
      <c r="H16" s="1305" t="s">
        <v>102</v>
      </c>
      <c r="I16" s="1277"/>
      <c r="J16" s="1277"/>
      <c r="K16" s="1277"/>
      <c r="L16" s="1277"/>
      <c r="M16" s="1277"/>
      <c r="N16" s="1277" t="s">
        <v>297</v>
      </c>
      <c r="O16" s="1277"/>
      <c r="P16" s="1277"/>
      <c r="Q16" s="1277"/>
      <c r="R16" s="1277"/>
      <c r="S16" s="1277"/>
      <c r="T16" s="1277" t="s">
        <v>103</v>
      </c>
      <c r="U16" s="1277"/>
      <c r="V16" s="1277"/>
      <c r="W16" s="1277"/>
      <c r="X16" s="1277"/>
      <c r="Y16" s="1277"/>
      <c r="Z16" s="1270" t="s">
        <v>101</v>
      </c>
      <c r="AA16" s="1270"/>
      <c r="AB16" s="1270"/>
      <c r="AC16" s="1270"/>
      <c r="AD16" s="1270"/>
      <c r="AE16" s="1270"/>
      <c r="AF16" s="1270"/>
      <c r="AG16" s="1270"/>
      <c r="AH16" s="1270" t="s">
        <v>104</v>
      </c>
      <c r="AI16" s="1270"/>
      <c r="AJ16" s="1270"/>
      <c r="AK16" s="1270"/>
      <c r="AL16" s="1270"/>
      <c r="AM16" s="1270"/>
      <c r="AN16" s="1270"/>
      <c r="AO16" s="1270"/>
      <c r="AP16" s="1270"/>
      <c r="AQ16" s="1270"/>
      <c r="AR16" s="1270"/>
      <c r="AS16" s="1270" t="s">
        <v>329</v>
      </c>
      <c r="AT16" s="1270"/>
      <c r="AU16" s="1270"/>
      <c r="AV16" s="1270"/>
      <c r="AW16" s="1270"/>
      <c r="AX16" s="1270"/>
      <c r="AY16" s="1270" t="s">
        <v>330</v>
      </c>
      <c r="AZ16" s="1270"/>
      <c r="BA16" s="1270"/>
      <c r="BB16" s="1270"/>
      <c r="BC16" s="1270"/>
      <c r="BD16" s="1270"/>
      <c r="BE16" s="1273" t="s">
        <v>824</v>
      </c>
      <c r="BF16" s="1273"/>
      <c r="BG16" s="1273"/>
      <c r="BH16" s="1273"/>
      <c r="BI16" s="1274"/>
      <c r="BJ16" s="713"/>
      <c r="BK16" s="713"/>
      <c r="BL16" s="937"/>
      <c r="CP16" s="712"/>
    </row>
    <row r="17" spans="1:94" ht="19.5" customHeight="1" thickBot="1">
      <c r="A17" s="936"/>
      <c r="B17" s="1295"/>
      <c r="C17" s="1296"/>
      <c r="D17" s="1296"/>
      <c r="E17" s="1296"/>
      <c r="F17" s="1296"/>
      <c r="G17" s="1297"/>
      <c r="H17" s="1306" t="str">
        <f>'INGRESO DE DATOS'!$G$28</f>
        <v>#</v>
      </c>
      <c r="I17" s="1307"/>
      <c r="J17" s="1307"/>
      <c r="K17" s="1307"/>
      <c r="L17" s="1307"/>
      <c r="M17" s="1307"/>
      <c r="N17" s="1278" t="str">
        <f>'INGRESO DE DATOS'!$G$29</f>
        <v>#</v>
      </c>
      <c r="O17" s="1278"/>
      <c r="P17" s="1278"/>
      <c r="Q17" s="1278"/>
      <c r="R17" s="1278"/>
      <c r="S17" s="1278"/>
      <c r="T17" s="1278" t="str">
        <f>'INGRESO DE DATOS'!$G$30</f>
        <v>#</v>
      </c>
      <c r="U17" s="1278"/>
      <c r="V17" s="1278"/>
      <c r="W17" s="1278"/>
      <c r="X17" s="1278"/>
      <c r="Y17" s="1278"/>
      <c r="Z17" s="1275" t="str">
        <f>'INGRESO DE DATOS'!$G$33</f>
        <v>#</v>
      </c>
      <c r="AA17" s="1275"/>
      <c r="AB17" s="1275"/>
      <c r="AC17" s="1275"/>
      <c r="AD17" s="1275"/>
      <c r="AE17" s="1275"/>
      <c r="AF17" s="1275"/>
      <c r="AG17" s="1275"/>
      <c r="AH17" s="1278" t="str">
        <f>'INGRESO DE DATOS'!$G$31</f>
        <v>#</v>
      </c>
      <c r="AI17" s="1278"/>
      <c r="AJ17" s="1278"/>
      <c r="AK17" s="1278"/>
      <c r="AL17" s="1278"/>
      <c r="AM17" s="1278"/>
      <c r="AN17" s="1278"/>
      <c r="AO17" s="1278"/>
      <c r="AP17" s="1278"/>
      <c r="AQ17" s="1278"/>
      <c r="AR17" s="1278"/>
      <c r="AS17" s="1275" t="str">
        <f>'INGRESO DE DATOS'!$G$32</f>
        <v>#</v>
      </c>
      <c r="AT17" s="1275"/>
      <c r="AU17" s="1275"/>
      <c r="AV17" s="1275"/>
      <c r="AW17" s="1275"/>
      <c r="AX17" s="1275"/>
      <c r="AY17" s="1275" t="str">
        <f>'INGRESO DE DATOS'!$G$35</f>
        <v>#</v>
      </c>
      <c r="AZ17" s="1275"/>
      <c r="BA17" s="1275"/>
      <c r="BB17" s="1275"/>
      <c r="BC17" s="1275"/>
      <c r="BD17" s="1275"/>
      <c r="BE17" s="1275" t="str">
        <f>'INGRESO DE DATOS'!$G$36</f>
        <v>#</v>
      </c>
      <c r="BF17" s="1275"/>
      <c r="BG17" s="1275"/>
      <c r="BH17" s="1275"/>
      <c r="BI17" s="1276"/>
      <c r="BJ17" s="713"/>
      <c r="BK17" s="713"/>
      <c r="BL17" s="937"/>
      <c r="CP17" s="712"/>
    </row>
    <row r="18" spans="1:94" ht="19.5" customHeight="1">
      <c r="A18" s="936"/>
      <c r="B18" s="1244" t="s">
        <v>365</v>
      </c>
      <c r="C18" s="1244"/>
      <c r="D18" s="1244"/>
      <c r="E18" s="1244"/>
      <c r="F18" s="1244"/>
      <c r="G18" s="696" t="s">
        <v>382</v>
      </c>
      <c r="BL18" s="937"/>
      <c r="CP18" s="712"/>
    </row>
    <row r="19" spans="1:94" ht="19.5" customHeight="1">
      <c r="A19" s="936"/>
      <c r="B19" s="1250" t="str">
        <f>'INGRESO DE DATOS'!$I$125</f>
        <v>ERROR</v>
      </c>
      <c r="C19" s="1250"/>
      <c r="D19" s="1250"/>
      <c r="E19" s="1250"/>
      <c r="F19" s="1250"/>
      <c r="G19" s="1250"/>
      <c r="H19" s="1250"/>
      <c r="I19" s="1250"/>
      <c r="J19" s="1250"/>
      <c r="K19" s="1269" t="s">
        <v>378</v>
      </c>
      <c r="L19" s="1269"/>
      <c r="M19" s="1269"/>
      <c r="N19" s="1268" t="e">
        <f>'INGRESO DE DATOS'!$C$127</f>
        <v>#NAME?</v>
      </c>
      <c r="O19" s="1268"/>
      <c r="P19" s="1268"/>
      <c r="Q19" s="1268"/>
      <c r="R19" s="1268"/>
      <c r="S19" s="1268"/>
      <c r="T19" s="1268"/>
      <c r="U19" s="1268"/>
      <c r="V19" s="1268"/>
      <c r="W19" s="1268"/>
      <c r="X19" s="1268"/>
      <c r="Y19" s="1268"/>
      <c r="Z19" s="1268"/>
      <c r="AA19" s="1268"/>
      <c r="AB19" s="1268"/>
      <c r="AC19" s="1268"/>
      <c r="AD19" s="1268"/>
      <c r="AE19" s="1268"/>
      <c r="AF19" s="1268"/>
      <c r="AG19" s="1268"/>
      <c r="AH19" s="1268"/>
      <c r="AI19" s="1268"/>
      <c r="AJ19" s="1268"/>
      <c r="AK19" s="1268"/>
      <c r="AL19" s="1268"/>
      <c r="AM19" s="1268"/>
      <c r="AN19" s="1268"/>
      <c r="AO19" s="1268"/>
      <c r="AP19" s="1268"/>
      <c r="AQ19" s="1268"/>
      <c r="AR19" s="1268"/>
      <c r="AS19" s="1268"/>
      <c r="AT19" s="1268"/>
      <c r="AU19" s="1268"/>
      <c r="AV19" s="1268"/>
      <c r="AW19" s="1268"/>
      <c r="AX19" s="1268"/>
      <c r="AY19" s="1268"/>
      <c r="AZ19" s="1268"/>
      <c r="BA19" s="1268"/>
      <c r="BB19" s="1268"/>
      <c r="BC19" s="1268"/>
      <c r="BD19" s="1268"/>
      <c r="BE19" s="1268"/>
      <c r="BF19" s="1268"/>
      <c r="BG19" s="1268"/>
      <c r="BH19" s="1268"/>
      <c r="BI19" s="1268"/>
      <c r="BJ19" s="1268"/>
      <c r="BK19" s="1268"/>
      <c r="BL19" s="937"/>
      <c r="CP19" s="712"/>
    </row>
    <row r="20" spans="1:82" ht="25.5" customHeight="1">
      <c r="A20" s="936"/>
      <c r="B20" s="1262"/>
      <c r="C20" s="1262"/>
      <c r="D20" s="1262"/>
      <c r="E20" s="1262"/>
      <c r="F20" s="1262"/>
      <c r="G20" s="688" t="s">
        <v>379</v>
      </c>
      <c r="H20" s="715"/>
      <c r="I20" s="715"/>
      <c r="K20" s="716"/>
      <c r="L20" s="716"/>
      <c r="M20" s="716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7"/>
      <c r="AL20" s="717"/>
      <c r="AM20" s="717"/>
      <c r="AN20" s="717"/>
      <c r="AO20" s="717"/>
      <c r="AP20" s="717"/>
      <c r="AQ20" s="717"/>
      <c r="AR20" s="717"/>
      <c r="AS20" s="717"/>
      <c r="AT20" s="717"/>
      <c r="AU20" s="717"/>
      <c r="AV20" s="717"/>
      <c r="AW20" s="717"/>
      <c r="AX20" s="717"/>
      <c r="AY20" s="717"/>
      <c r="AZ20" s="717"/>
      <c r="BA20" s="717"/>
      <c r="BB20" s="717"/>
      <c r="BC20" s="717"/>
      <c r="BD20" s="717"/>
      <c r="BE20" s="717"/>
      <c r="BF20" s="717"/>
      <c r="BG20" s="717"/>
      <c r="BH20" s="717"/>
      <c r="BI20" s="717"/>
      <c r="BL20" s="937"/>
      <c r="BT20" s="714"/>
      <c r="CD20" s="688"/>
    </row>
    <row r="21" spans="1:82" ht="19.5" customHeight="1">
      <c r="A21" s="936"/>
      <c r="B21" s="1249" t="s">
        <v>812</v>
      </c>
      <c r="C21" s="1249"/>
      <c r="D21" s="1249"/>
      <c r="E21" s="1249"/>
      <c r="F21" s="1249"/>
      <c r="G21" s="688" t="s">
        <v>366</v>
      </c>
      <c r="AC21" s="1264" t="str">
        <f>'INGRESO DE DATOS'!$G$37</f>
        <v>24 Meses</v>
      </c>
      <c r="AD21" s="1264"/>
      <c r="AE21" s="1264"/>
      <c r="AF21" s="1264"/>
      <c r="AG21" s="1264"/>
      <c r="AH21" s="1264"/>
      <c r="AI21" s="1264"/>
      <c r="AJ21" s="718" t="s">
        <v>380</v>
      </c>
      <c r="AL21" s="719"/>
      <c r="AM21" s="719"/>
      <c r="AN21" s="719"/>
      <c r="AO21" s="719"/>
      <c r="AP21" s="719"/>
      <c r="AQ21" s="719"/>
      <c r="AR21" s="719"/>
      <c r="AS21" s="719"/>
      <c r="AT21" s="719"/>
      <c r="AU21" s="719"/>
      <c r="AV21" s="719"/>
      <c r="AW21" s="719"/>
      <c r="AX21" s="719"/>
      <c r="AY21" s="719"/>
      <c r="AZ21" s="719"/>
      <c r="BA21" s="719"/>
      <c r="BB21" s="719"/>
      <c r="BC21" s="719"/>
      <c r="BD21" s="719"/>
      <c r="BK21" s="713"/>
      <c r="BL21" s="937"/>
      <c r="BT21" s="714"/>
      <c r="CD21" s="688"/>
    </row>
    <row r="22" spans="1:77" s="713" customFormat="1" ht="19.5" customHeight="1">
      <c r="A22" s="936"/>
      <c r="B22" s="1252"/>
      <c r="C22" s="1252"/>
      <c r="D22" s="1252"/>
      <c r="E22" s="1252"/>
      <c r="F22" s="1252"/>
      <c r="G22" s="688" t="s">
        <v>367</v>
      </c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7"/>
      <c r="AM22" s="687"/>
      <c r="AN22" s="687"/>
      <c r="AO22" s="687"/>
      <c r="AP22" s="687"/>
      <c r="AQ22" s="687"/>
      <c r="AR22" s="687"/>
      <c r="AS22" s="687"/>
      <c r="AT22" s="687"/>
      <c r="AU22" s="687"/>
      <c r="AV22" s="687"/>
      <c r="AW22" s="687"/>
      <c r="AX22" s="687"/>
      <c r="AY22" s="687"/>
      <c r="AZ22" s="687"/>
      <c r="BA22" s="687"/>
      <c r="BB22" s="687"/>
      <c r="BC22" s="687"/>
      <c r="BD22" s="687"/>
      <c r="BE22" s="687"/>
      <c r="BF22" s="687"/>
      <c r="BG22" s="687"/>
      <c r="BH22" s="687"/>
      <c r="BI22" s="687"/>
      <c r="BJ22" s="687"/>
      <c r="BL22" s="937"/>
      <c r="BV22" s="720"/>
      <c r="BW22" s="720"/>
      <c r="BX22" s="720"/>
      <c r="BY22" s="720"/>
    </row>
    <row r="23" spans="1:77" s="713" customFormat="1" ht="19.5" customHeight="1">
      <c r="A23" s="936"/>
      <c r="B23" s="1249" t="s">
        <v>813</v>
      </c>
      <c r="C23" s="1249"/>
      <c r="D23" s="1249"/>
      <c r="E23" s="1249"/>
      <c r="F23" s="1249"/>
      <c r="G23" s="722" t="s">
        <v>383</v>
      </c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1264" t="str">
        <f>'INGRESO DE DATOS'!$G$38</f>
        <v>50 % AL INICIO DEL TRABAJO</v>
      </c>
      <c r="AW23" s="1264"/>
      <c r="AX23" s="1264"/>
      <c r="AY23" s="1264"/>
      <c r="AZ23" s="1264"/>
      <c r="BA23" s="1264"/>
      <c r="BB23" s="1264"/>
      <c r="BC23" s="1264"/>
      <c r="BD23" s="1264"/>
      <c r="BE23" s="1264"/>
      <c r="BF23" s="1264"/>
      <c r="BG23" s="1264"/>
      <c r="BH23" s="1264"/>
      <c r="BI23" s="1264"/>
      <c r="BJ23" s="1264"/>
      <c r="BK23" s="723" t="s">
        <v>784</v>
      </c>
      <c r="BL23" s="937"/>
      <c r="BM23" s="696"/>
      <c r="BN23" s="696"/>
      <c r="BO23" s="696"/>
      <c r="BP23" s="696"/>
      <c r="BQ23" s="696"/>
      <c r="BR23" s="696"/>
      <c r="BS23" s="696"/>
      <c r="BT23" s="696"/>
      <c r="BU23" s="696"/>
      <c r="BV23" s="696"/>
      <c r="BW23" s="696"/>
      <c r="BX23" s="696"/>
      <c r="BY23" s="696"/>
    </row>
    <row r="24" spans="1:77" s="713" customFormat="1" ht="19.5" customHeight="1">
      <c r="A24" s="936"/>
      <c r="B24" s="1252"/>
      <c r="C24" s="1252"/>
      <c r="D24" s="1252"/>
      <c r="E24" s="1252"/>
      <c r="F24" s="1252"/>
      <c r="G24" s="1263" t="str">
        <f>'INGRESO DE DATOS'!G39</f>
        <v>30 AL MONENTO DE FIRMA DE LA DOCUMENTACION</v>
      </c>
      <c r="H24" s="1263"/>
      <c r="I24" s="1263"/>
      <c r="J24" s="1263"/>
      <c r="K24" s="1263"/>
      <c r="L24" s="1263"/>
      <c r="M24" s="1263"/>
      <c r="N24" s="1263"/>
      <c r="O24" s="1263"/>
      <c r="P24" s="1263"/>
      <c r="Q24" s="1263"/>
      <c r="R24" s="1263"/>
      <c r="S24" s="1263"/>
      <c r="T24" s="724" t="s">
        <v>784</v>
      </c>
      <c r="U24" s="1264" t="str">
        <f>'INGRESO DE DATOS'!$G$40</f>
        <v>RESTO S/AVANCE DE OBRA</v>
      </c>
      <c r="V24" s="1264"/>
      <c r="W24" s="1264"/>
      <c r="X24" s="1264"/>
      <c r="Y24" s="1264"/>
      <c r="Z24" s="1264"/>
      <c r="AA24" s="1264"/>
      <c r="AB24" s="1264"/>
      <c r="AC24" s="1264"/>
      <c r="AD24" s="1264"/>
      <c r="AE24" s="1264"/>
      <c r="AF24" s="1264"/>
      <c r="AG24" s="1264"/>
      <c r="AH24" s="1264"/>
      <c r="AI24" s="1264"/>
      <c r="AJ24" s="1264"/>
      <c r="AK24" s="1264"/>
      <c r="AL24" s="1264"/>
      <c r="AM24" s="1264"/>
      <c r="AN24" s="1264"/>
      <c r="AO24" s="1264"/>
      <c r="AP24" s="687"/>
      <c r="AQ24" s="718"/>
      <c r="AR24" s="718"/>
      <c r="AS24" s="718"/>
      <c r="AT24" s="687"/>
      <c r="AU24" s="687"/>
      <c r="AV24" s="687"/>
      <c r="AW24" s="687"/>
      <c r="AX24" s="687"/>
      <c r="AY24" s="687"/>
      <c r="AZ24" s="687"/>
      <c r="BA24" s="687"/>
      <c r="BB24" s="687"/>
      <c r="BC24" s="687"/>
      <c r="BD24" s="687"/>
      <c r="BE24" s="687"/>
      <c r="BF24" s="687"/>
      <c r="BG24" s="687"/>
      <c r="BH24" s="687"/>
      <c r="BI24" s="687"/>
      <c r="BJ24" s="687"/>
      <c r="BL24" s="937"/>
      <c r="BM24" s="723"/>
      <c r="BN24" s="723"/>
      <c r="BO24" s="723"/>
      <c r="BP24" s="723"/>
      <c r="BQ24" s="723"/>
      <c r="BR24" s="723"/>
      <c r="BS24" s="723"/>
      <c r="BT24" s="723"/>
      <c r="BU24" s="723"/>
      <c r="BV24" s="723"/>
      <c r="BW24" s="723"/>
      <c r="BX24" s="723"/>
      <c r="BY24" s="723"/>
    </row>
    <row r="25" spans="1:72" s="713" customFormat="1" ht="19.5" customHeight="1">
      <c r="A25" s="936"/>
      <c r="B25" s="1252"/>
      <c r="C25" s="1252"/>
      <c r="D25" s="1252"/>
      <c r="E25" s="1252"/>
      <c r="F25" s="1252"/>
      <c r="G25" s="688" t="s">
        <v>384</v>
      </c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  <c r="X25" s="687"/>
      <c r="Y25" s="687"/>
      <c r="Z25" s="687"/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7"/>
      <c r="AM25" s="687"/>
      <c r="AN25" s="687"/>
      <c r="AO25" s="687"/>
      <c r="AP25" s="687"/>
      <c r="AQ25" s="687"/>
      <c r="AR25" s="687"/>
      <c r="AS25" s="687"/>
      <c r="AT25" s="687"/>
      <c r="AU25" s="687"/>
      <c r="AV25" s="687"/>
      <c r="AW25" s="687"/>
      <c r="AX25" s="687"/>
      <c r="AY25" s="687"/>
      <c r="AZ25" s="687"/>
      <c r="BA25" s="687"/>
      <c r="BB25" s="687"/>
      <c r="BC25" s="687"/>
      <c r="BD25" s="687"/>
      <c r="BE25" s="687"/>
      <c r="BF25" s="687"/>
      <c r="BG25" s="687"/>
      <c r="BH25" s="687"/>
      <c r="BI25" s="687"/>
      <c r="BJ25" s="687"/>
      <c r="BL25" s="937"/>
      <c r="BM25" s="697"/>
      <c r="BN25" s="696"/>
      <c r="BO25" s="696"/>
      <c r="BP25" s="696"/>
      <c r="BQ25" s="696"/>
      <c r="BR25" s="696"/>
      <c r="BS25" s="696"/>
      <c r="BT25" s="696"/>
    </row>
    <row r="26" spans="1:64" s="713" customFormat="1" ht="19.5" customHeight="1">
      <c r="A26" s="936"/>
      <c r="B26" s="1249" t="s">
        <v>814</v>
      </c>
      <c r="C26" s="1249"/>
      <c r="D26" s="1249"/>
      <c r="E26" s="1249"/>
      <c r="F26" s="1249"/>
      <c r="G26" s="722" t="s">
        <v>368</v>
      </c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7"/>
      <c r="BD26" s="687"/>
      <c r="BE26" s="687"/>
      <c r="BF26" s="687"/>
      <c r="BG26" s="687"/>
      <c r="BH26" s="687"/>
      <c r="BI26" s="687"/>
      <c r="BJ26" s="687"/>
      <c r="BL26" s="937"/>
    </row>
    <row r="27" spans="1:77" s="713" customFormat="1" ht="19.5" customHeight="1">
      <c r="A27" s="936"/>
      <c r="B27" s="687"/>
      <c r="C27" s="687"/>
      <c r="D27" s="687"/>
      <c r="E27" s="687"/>
      <c r="F27" s="687"/>
      <c r="G27" s="688" t="s">
        <v>375</v>
      </c>
      <c r="H27" s="687"/>
      <c r="I27" s="687"/>
      <c r="J27" s="687"/>
      <c r="K27" s="687"/>
      <c r="L27" s="687"/>
      <c r="M27" s="687"/>
      <c r="N27" s="687"/>
      <c r="O27" s="687"/>
      <c r="P27" s="687"/>
      <c r="Q27" s="687"/>
      <c r="R27" s="687"/>
      <c r="S27" s="687"/>
      <c r="T27" s="687"/>
      <c r="U27" s="687"/>
      <c r="V27" s="687"/>
      <c r="W27" s="687"/>
      <c r="X27" s="687"/>
      <c r="Y27" s="687"/>
      <c r="Z27" s="687"/>
      <c r="AA27" s="687"/>
      <c r="AB27" s="687"/>
      <c r="AC27" s="687"/>
      <c r="AD27" s="687"/>
      <c r="AE27" s="687"/>
      <c r="AF27" s="687"/>
      <c r="AG27" s="687"/>
      <c r="AH27" s="687"/>
      <c r="AI27" s="687"/>
      <c r="AJ27" s="687"/>
      <c r="AK27" s="687"/>
      <c r="AL27" s="687"/>
      <c r="AM27" s="687"/>
      <c r="AN27" s="687"/>
      <c r="AO27" s="687"/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7"/>
      <c r="BA27" s="687"/>
      <c r="BB27" s="687"/>
      <c r="BC27" s="687"/>
      <c r="BD27" s="687"/>
      <c r="BE27" s="687"/>
      <c r="BF27" s="687"/>
      <c r="BG27" s="687"/>
      <c r="BH27" s="687"/>
      <c r="BI27" s="687"/>
      <c r="BJ27" s="687"/>
      <c r="BL27" s="937"/>
      <c r="BM27" s="696"/>
      <c r="BN27" s="696"/>
      <c r="BO27" s="696"/>
      <c r="BP27" s="696"/>
      <c r="BQ27" s="696"/>
      <c r="BR27" s="696"/>
      <c r="BS27" s="696"/>
      <c r="BT27" s="696"/>
      <c r="BU27" s="696"/>
      <c r="BV27" s="696"/>
      <c r="BW27" s="696"/>
      <c r="BX27" s="696"/>
      <c r="BY27" s="696"/>
    </row>
    <row r="28" spans="1:77" s="713" customFormat="1" ht="19.5" customHeight="1">
      <c r="A28" s="936"/>
      <c r="B28" s="1249" t="s">
        <v>815</v>
      </c>
      <c r="C28" s="1249"/>
      <c r="D28" s="1249"/>
      <c r="E28" s="1249"/>
      <c r="F28" s="1249"/>
      <c r="G28" s="722" t="s">
        <v>369</v>
      </c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687"/>
      <c r="AX28" s="687"/>
      <c r="AY28" s="687"/>
      <c r="AZ28" s="687"/>
      <c r="BA28" s="687"/>
      <c r="BB28" s="687"/>
      <c r="BC28" s="687"/>
      <c r="BD28" s="687"/>
      <c r="BE28" s="687"/>
      <c r="BF28" s="687"/>
      <c r="BG28" s="687"/>
      <c r="BH28" s="687"/>
      <c r="BI28" s="687"/>
      <c r="BJ28" s="687"/>
      <c r="BL28" s="937"/>
      <c r="BM28" s="696"/>
      <c r="BN28" s="696"/>
      <c r="BO28" s="696"/>
      <c r="BP28" s="696"/>
      <c r="BQ28" s="696"/>
      <c r="BR28" s="696"/>
      <c r="BS28" s="696"/>
      <c r="BT28" s="696"/>
      <c r="BU28" s="696"/>
      <c r="BV28" s="696"/>
      <c r="BW28" s="696"/>
      <c r="BX28" s="696"/>
      <c r="BY28" s="696"/>
    </row>
    <row r="29" spans="1:77" s="713" customFormat="1" ht="19.5" customHeight="1">
      <c r="A29" s="936"/>
      <c r="B29" s="1249" t="s">
        <v>816</v>
      </c>
      <c r="C29" s="1249"/>
      <c r="D29" s="1249"/>
      <c r="E29" s="1249"/>
      <c r="F29" s="1249"/>
      <c r="G29" s="722" t="s">
        <v>370</v>
      </c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687"/>
      <c r="AM29" s="687"/>
      <c r="AN29" s="687"/>
      <c r="AO29" s="687"/>
      <c r="AP29" s="687"/>
      <c r="AQ29" s="687"/>
      <c r="AR29" s="687"/>
      <c r="AS29" s="687"/>
      <c r="AT29" s="687"/>
      <c r="AU29" s="687"/>
      <c r="AV29" s="687"/>
      <c r="AW29" s="687"/>
      <c r="AX29" s="687"/>
      <c r="AY29" s="687"/>
      <c r="AZ29" s="687"/>
      <c r="BA29" s="687"/>
      <c r="BB29" s="687"/>
      <c r="BC29" s="687"/>
      <c r="BD29" s="687"/>
      <c r="BE29" s="687"/>
      <c r="BF29" s="687"/>
      <c r="BG29" s="687"/>
      <c r="BH29" s="687"/>
      <c r="BI29" s="687"/>
      <c r="BJ29" s="687"/>
      <c r="BL29" s="937"/>
      <c r="BM29" s="696"/>
      <c r="BN29" s="696"/>
      <c r="BO29" s="696"/>
      <c r="BP29" s="696"/>
      <c r="BQ29" s="696"/>
      <c r="BR29" s="696"/>
      <c r="BS29" s="696"/>
      <c r="BT29" s="696"/>
      <c r="BU29" s="696"/>
      <c r="BV29" s="696"/>
      <c r="BW29" s="696"/>
      <c r="BX29" s="696"/>
      <c r="BY29" s="696"/>
    </row>
    <row r="30" spans="1:77" s="713" customFormat="1" ht="19.5" customHeight="1">
      <c r="A30" s="936"/>
      <c r="B30" s="687"/>
      <c r="C30" s="687"/>
      <c r="D30" s="687"/>
      <c r="E30" s="687"/>
      <c r="F30" s="687"/>
      <c r="G30" s="688" t="s">
        <v>376</v>
      </c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7"/>
      <c r="U30" s="687"/>
      <c r="V30" s="687"/>
      <c r="W30" s="687"/>
      <c r="X30" s="687"/>
      <c r="Y30" s="687"/>
      <c r="Z30" s="687"/>
      <c r="AA30" s="687"/>
      <c r="AB30" s="687"/>
      <c r="AC30" s="687"/>
      <c r="AD30" s="687"/>
      <c r="AE30" s="687"/>
      <c r="AF30" s="687"/>
      <c r="AG30" s="687"/>
      <c r="AH30" s="687"/>
      <c r="AI30" s="687"/>
      <c r="AJ30" s="687"/>
      <c r="AK30" s="687"/>
      <c r="AL30" s="687"/>
      <c r="AM30" s="687"/>
      <c r="AN30" s="687"/>
      <c r="AO30" s="687"/>
      <c r="AP30" s="687"/>
      <c r="AQ30" s="687"/>
      <c r="AR30" s="687"/>
      <c r="AS30" s="687"/>
      <c r="AT30" s="687"/>
      <c r="AU30" s="687"/>
      <c r="AV30" s="687"/>
      <c r="AW30" s="687"/>
      <c r="AX30" s="687"/>
      <c r="AY30" s="687"/>
      <c r="AZ30" s="687"/>
      <c r="BA30" s="687"/>
      <c r="BB30" s="687"/>
      <c r="BC30" s="687"/>
      <c r="BD30" s="687"/>
      <c r="BE30" s="687"/>
      <c r="BF30" s="687"/>
      <c r="BG30" s="687"/>
      <c r="BH30" s="687"/>
      <c r="BI30" s="687"/>
      <c r="BJ30" s="687"/>
      <c r="BL30" s="937"/>
      <c r="BW30" s="696"/>
      <c r="BX30" s="696"/>
      <c r="BY30" s="696"/>
    </row>
    <row r="31" spans="1:77" s="713" customFormat="1" ht="19.5" customHeight="1">
      <c r="A31" s="936"/>
      <c r="B31" s="1249" t="s">
        <v>817</v>
      </c>
      <c r="C31" s="1249"/>
      <c r="D31" s="1249"/>
      <c r="E31" s="1249"/>
      <c r="F31" s="1249"/>
      <c r="G31" s="691" t="s">
        <v>371</v>
      </c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1251" t="str">
        <f>'INGRESO DE DATOS'!$G$50</f>
        <v>GASTOS EXTRAORDINARIOS Y EL PAGO DE LOS DERECHOS MUNICIPALES A CARGO DEL COMITENTE.</v>
      </c>
      <c r="AA31" s="1251"/>
      <c r="AB31" s="1251"/>
      <c r="AC31" s="1251"/>
      <c r="AD31" s="1251"/>
      <c r="AE31" s="1251"/>
      <c r="AF31" s="1251"/>
      <c r="AG31" s="1251"/>
      <c r="AH31" s="1251"/>
      <c r="AI31" s="1251"/>
      <c r="AJ31" s="1251"/>
      <c r="AK31" s="1251"/>
      <c r="AL31" s="1251"/>
      <c r="AM31" s="1251"/>
      <c r="AN31" s="1251"/>
      <c r="AO31" s="1251"/>
      <c r="AP31" s="1251"/>
      <c r="AQ31" s="1251"/>
      <c r="AR31" s="1251"/>
      <c r="AS31" s="1251"/>
      <c r="AT31" s="1251"/>
      <c r="AU31" s="1251"/>
      <c r="AV31" s="1251"/>
      <c r="AW31" s="1251"/>
      <c r="AX31" s="1251"/>
      <c r="AY31" s="1251"/>
      <c r="AZ31" s="1251"/>
      <c r="BA31" s="1251"/>
      <c r="BB31" s="1251"/>
      <c r="BC31" s="1251"/>
      <c r="BD31" s="1251"/>
      <c r="BE31" s="1251"/>
      <c r="BF31" s="1251"/>
      <c r="BG31" s="1251"/>
      <c r="BH31" s="1251"/>
      <c r="BI31" s="1251"/>
      <c r="BJ31" s="1251"/>
      <c r="BL31" s="937"/>
      <c r="BM31" s="696"/>
      <c r="BN31" s="696"/>
      <c r="BO31" s="696"/>
      <c r="BP31" s="696"/>
      <c r="BQ31" s="696"/>
      <c r="BR31" s="696"/>
      <c r="BS31" s="696"/>
      <c r="BT31" s="696"/>
      <c r="BU31" s="696"/>
      <c r="BV31" s="696"/>
      <c r="BW31" s="696"/>
      <c r="BX31" s="696"/>
      <c r="BY31" s="696"/>
    </row>
    <row r="32" spans="1:68" s="713" customFormat="1" ht="19.5" customHeight="1">
      <c r="A32" s="936"/>
      <c r="B32" s="1249" t="s">
        <v>818</v>
      </c>
      <c r="C32" s="1249"/>
      <c r="D32" s="1249"/>
      <c r="E32" s="1249"/>
      <c r="F32" s="1249"/>
      <c r="G32" s="722" t="s">
        <v>372</v>
      </c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  <c r="S32" s="687"/>
      <c r="T32" s="687"/>
      <c r="U32" s="68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1256" t="str">
        <f>'INGRESO DE DATOS'!$G$41</f>
        <v>ORIGINARIO</v>
      </c>
      <c r="AS32" s="1256"/>
      <c r="AT32" s="1256"/>
      <c r="AU32" s="1256"/>
      <c r="AV32" s="1256"/>
      <c r="AW32" s="1256"/>
      <c r="AX32" s="1256"/>
      <c r="AY32" s="1258" t="str">
        <f>IF(AR32="ORIGINARIO","  ","DEL CONTRATO ")</f>
        <v>  </v>
      </c>
      <c r="AZ32" s="1258"/>
      <c r="BA32" s="1258"/>
      <c r="BB32" s="1258"/>
      <c r="BC32" s="1258"/>
      <c r="BD32" s="1258"/>
      <c r="BE32" s="1258"/>
      <c r="BF32" s="1258"/>
      <c r="BG32" s="1258"/>
      <c r="BH32" s="1258"/>
      <c r="BI32" s="1258"/>
      <c r="BJ32" s="687"/>
      <c r="BL32" s="937"/>
      <c r="BM32" s="696"/>
      <c r="BN32" s="696"/>
      <c r="BO32" s="696"/>
      <c r="BP32" s="696"/>
    </row>
    <row r="33" spans="1:74" s="713" customFormat="1" ht="19.5" customHeight="1">
      <c r="A33" s="936"/>
      <c r="B33" s="1258" t="str">
        <f>IF(AR32="ORIGINARIO","  "," CELEBRADO  EL  DIA ")</f>
        <v>  </v>
      </c>
      <c r="C33" s="1258"/>
      <c r="D33" s="1258"/>
      <c r="E33" s="1258"/>
      <c r="F33" s="1258"/>
      <c r="G33" s="1258"/>
      <c r="H33" s="1258"/>
      <c r="I33" s="1258"/>
      <c r="J33" s="1258"/>
      <c r="K33" s="1258"/>
      <c r="L33" s="1253" t="str">
        <f>IF(AR32="ORIGINARIO","  ",'INGRESO DE DATOS'!$R$36)</f>
        <v>  </v>
      </c>
      <c r="M33" s="1253"/>
      <c r="N33" s="1253"/>
      <c r="O33" s="1253"/>
      <c r="P33" s="1253"/>
      <c r="Q33" s="1253"/>
      <c r="R33" s="1261" t="str">
        <f>IF(AR32="ORIGINARIO","  ","DE PESOS :")</f>
        <v>  </v>
      </c>
      <c r="S33" s="1261"/>
      <c r="T33" s="1261"/>
      <c r="U33" s="1261"/>
      <c r="V33" s="1261"/>
      <c r="W33" s="1257" t="str">
        <f>IF(AR32="ORIGINARIO","  ",'INGRESO DE DATOS'!$G$44)</f>
        <v>  </v>
      </c>
      <c r="X33" s="1257"/>
      <c r="Y33" s="1257"/>
      <c r="Z33" s="1257"/>
      <c r="AA33" s="1257"/>
      <c r="AB33" s="1257"/>
      <c r="AC33" s="1257"/>
      <c r="AD33" s="1259" t="s">
        <v>678</v>
      </c>
      <c r="AE33" s="1259"/>
      <c r="AF33" s="1260">
        <f>'INGRESO DE DATOS'!$E$130</f>
        <v>1.1</v>
      </c>
      <c r="AG33" s="1260"/>
      <c r="AH33" s="1260"/>
      <c r="AI33" s="1259" t="s">
        <v>679</v>
      </c>
      <c r="AJ33" s="1259"/>
      <c r="AK33" s="1259"/>
      <c r="AL33" s="1259"/>
      <c r="AM33" s="1259"/>
      <c r="AN33" s="1259"/>
      <c r="AO33" s="1259"/>
      <c r="AP33" s="1259"/>
      <c r="AQ33" s="1257" t="str">
        <f>'INGRESO DE DATOS'!$R$38</f>
        <v>  </v>
      </c>
      <c r="AR33" s="1257"/>
      <c r="AS33" s="1257"/>
      <c r="AT33" s="1257"/>
      <c r="AU33" s="1257"/>
      <c r="AV33" s="1257"/>
      <c r="AW33" s="1257"/>
      <c r="AX33" s="688"/>
      <c r="AY33" s="688"/>
      <c r="AZ33" s="688"/>
      <c r="BA33" s="687"/>
      <c r="BB33" s="687"/>
      <c r="BC33" s="687"/>
      <c r="BD33" s="687"/>
      <c r="BE33" s="687"/>
      <c r="BF33" s="687"/>
      <c r="BG33" s="687"/>
      <c r="BH33" s="1256"/>
      <c r="BI33" s="1256"/>
      <c r="BJ33" s="725"/>
      <c r="BL33" s="937"/>
      <c r="BM33" s="696"/>
      <c r="BN33" s="696"/>
      <c r="BO33" s="696"/>
      <c r="BP33" s="696"/>
      <c r="BQ33" s="696"/>
      <c r="BR33" s="696"/>
      <c r="BS33" s="696"/>
      <c r="BT33" s="696"/>
      <c r="BU33" s="696"/>
      <c r="BV33" s="696"/>
    </row>
    <row r="34" spans="1:74" s="713" customFormat="1" ht="19.5" customHeight="1">
      <c r="A34" s="936"/>
      <c r="B34" s="1249" t="s">
        <v>819</v>
      </c>
      <c r="C34" s="1249"/>
      <c r="D34" s="1249"/>
      <c r="E34" s="1249"/>
      <c r="F34" s="1249"/>
      <c r="G34" s="722" t="s">
        <v>373</v>
      </c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7"/>
      <c r="AP34" s="687"/>
      <c r="AQ34" s="687"/>
      <c r="AR34" s="687"/>
      <c r="AS34" s="687"/>
      <c r="AT34" s="687"/>
      <c r="AU34" s="687"/>
      <c r="AV34" s="687"/>
      <c r="AW34" s="687"/>
      <c r="AX34" s="687"/>
      <c r="AY34" s="687"/>
      <c r="AZ34" s="687"/>
      <c r="BA34" s="687"/>
      <c r="BB34" s="687"/>
      <c r="BC34" s="687"/>
      <c r="BD34" s="687"/>
      <c r="BE34" s="687"/>
      <c r="BF34" s="687"/>
      <c r="BG34" s="687"/>
      <c r="BH34" s="687"/>
      <c r="BI34" s="687"/>
      <c r="BJ34" s="687"/>
      <c r="BL34" s="937"/>
      <c r="BM34" s="696"/>
      <c r="BN34" s="696"/>
      <c r="BO34" s="696"/>
      <c r="BP34" s="696"/>
      <c r="BQ34" s="696"/>
      <c r="BR34" s="696"/>
      <c r="BS34" s="696"/>
      <c r="BT34" s="696"/>
      <c r="BU34" s="696"/>
      <c r="BV34" s="696"/>
    </row>
    <row r="35" spans="1:77" s="713" customFormat="1" ht="19.5" customHeight="1">
      <c r="A35" s="936"/>
      <c r="B35" s="687"/>
      <c r="C35" s="687"/>
      <c r="D35" s="687"/>
      <c r="E35" s="687"/>
      <c r="F35" s="687"/>
      <c r="G35" s="688" t="s">
        <v>374</v>
      </c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687"/>
      <c r="AB35" s="1256" t="str">
        <f>'INGRESO DE DATOS'!$G$45</f>
        <v> </v>
      </c>
      <c r="AC35" s="1256"/>
      <c r="AD35" s="1256"/>
      <c r="AE35" s="1256"/>
      <c r="AF35" s="1256"/>
      <c r="AG35" s="1256"/>
      <c r="AH35" s="1256"/>
      <c r="AI35" s="1256"/>
      <c r="AJ35" s="1256"/>
      <c r="AK35" s="1256"/>
      <c r="AL35" s="1256"/>
      <c r="AM35" s="1256"/>
      <c r="AN35" s="1256"/>
      <c r="AO35" s="1256"/>
      <c r="AP35" s="1256"/>
      <c r="AQ35" s="1256"/>
      <c r="AR35" s="688" t="s">
        <v>74</v>
      </c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D35" s="687"/>
      <c r="BE35" s="687"/>
      <c r="BF35" s="687"/>
      <c r="BG35" s="687"/>
      <c r="BH35" s="687"/>
      <c r="BI35" s="687"/>
      <c r="BJ35" s="687"/>
      <c r="BL35" s="937"/>
      <c r="BP35" s="696"/>
      <c r="BQ35" s="696"/>
      <c r="BR35" s="696"/>
      <c r="BS35" s="696"/>
      <c r="BT35" s="696"/>
      <c r="BU35" s="696"/>
      <c r="BV35" s="696"/>
      <c r="BW35" s="696"/>
      <c r="BX35" s="696"/>
      <c r="BY35" s="696"/>
    </row>
    <row r="36" spans="1:77" s="713" customFormat="1" ht="19.5" customHeight="1">
      <c r="A36" s="936"/>
      <c r="B36" s="1249" t="str">
        <f>+IF('PLANILLA DE CALCULOS '!J27&gt;0,"Articulo 11:","  ")</f>
        <v>  </v>
      </c>
      <c r="C36" s="1249"/>
      <c r="D36" s="1249"/>
      <c r="E36" s="1249"/>
      <c r="F36" s="1249"/>
      <c r="G36" s="1255" t="str">
        <f>+IF('PLANILLA DE CALCULOS '!J27&gt;0," El Comitente queda OBLIGADO a ejecutar la obra TAL CUAL lo expresado en el  PLANO PERMISO DE OBRA REGISTRADO,  caso contrario, el profesional se  "," ")</f>
        <v> </v>
      </c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5"/>
      <c r="AI36" s="1255"/>
      <c r="AJ36" s="1255"/>
      <c r="AK36" s="1255"/>
      <c r="AL36" s="1255"/>
      <c r="AM36" s="1255"/>
      <c r="AN36" s="1255"/>
      <c r="AO36" s="1255"/>
      <c r="AP36" s="1255"/>
      <c r="AQ36" s="1255"/>
      <c r="AR36" s="1255"/>
      <c r="AS36" s="1255"/>
      <c r="AT36" s="1255"/>
      <c r="AU36" s="1255"/>
      <c r="AV36" s="1255"/>
      <c r="AW36" s="1255"/>
      <c r="AX36" s="1255"/>
      <c r="AY36" s="1255"/>
      <c r="AZ36" s="1255"/>
      <c r="BA36" s="1255"/>
      <c r="BB36" s="1255"/>
      <c r="BC36" s="1255"/>
      <c r="BD36" s="1255"/>
      <c r="BE36" s="1255"/>
      <c r="BF36" s="1255"/>
      <c r="BG36" s="1255"/>
      <c r="BH36" s="1255"/>
      <c r="BI36" s="1255"/>
      <c r="BJ36" s="1255"/>
      <c r="BL36" s="937"/>
      <c r="BX36" s="696"/>
      <c r="BY36" s="696"/>
    </row>
    <row r="37" spans="1:70" s="713" customFormat="1" ht="19.5" customHeight="1">
      <c r="A37" s="936"/>
      <c r="B37" s="689"/>
      <c r="C37" s="687"/>
      <c r="D37" s="687"/>
      <c r="E37" s="687"/>
      <c r="F37" s="687"/>
      <c r="G37" s="1255" t="str">
        <f>+IF('PLANILLA DE CALCULOS '!J27&gt;0,"  CONSIDERARÀ  DESLIGADO   de su tarea profesional a futuro. "," ")</f>
        <v> </v>
      </c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255"/>
      <c r="T37" s="1255"/>
      <c r="U37" s="1255"/>
      <c r="V37" s="1255"/>
      <c r="W37" s="1255"/>
      <c r="X37" s="1255"/>
      <c r="Y37" s="1255"/>
      <c r="Z37" s="1255"/>
      <c r="AA37" s="1255"/>
      <c r="AB37" s="1255"/>
      <c r="AC37" s="1255"/>
      <c r="AD37" s="1255"/>
      <c r="AE37" s="1255"/>
      <c r="AF37" s="1255"/>
      <c r="AG37" s="1255"/>
      <c r="AH37" s="1255"/>
      <c r="AI37" s="1255"/>
      <c r="AJ37" s="1255"/>
      <c r="AK37" s="1255"/>
      <c r="AL37" s="1255"/>
      <c r="AM37" s="1255"/>
      <c r="AN37" s="1255"/>
      <c r="AO37" s="1255"/>
      <c r="AP37" s="1255"/>
      <c r="AQ37" s="1255"/>
      <c r="AR37" s="1255"/>
      <c r="AS37" s="1255"/>
      <c r="AT37" s="1255"/>
      <c r="AU37" s="1255"/>
      <c r="AV37" s="1255"/>
      <c r="AW37" s="1255"/>
      <c r="AX37" s="1255"/>
      <c r="AY37" s="1255"/>
      <c r="AZ37" s="1255"/>
      <c r="BA37" s="1255"/>
      <c r="BB37" s="1255"/>
      <c r="BC37" s="1255"/>
      <c r="BD37" s="1255"/>
      <c r="BE37" s="1255"/>
      <c r="BF37" s="1255"/>
      <c r="BG37" s="1255"/>
      <c r="BH37" s="1255"/>
      <c r="BI37" s="1255"/>
      <c r="BJ37" s="1255"/>
      <c r="BL37" s="937"/>
      <c r="BM37" s="696"/>
      <c r="BN37" s="696"/>
      <c r="BO37" s="696"/>
      <c r="BP37" s="696"/>
      <c r="BQ37" s="696"/>
      <c r="BR37" s="696"/>
    </row>
    <row r="38" spans="1:65" s="713" customFormat="1" ht="19.5" customHeight="1">
      <c r="A38" s="936"/>
      <c r="B38" s="1249" t="str">
        <f>+IF('PLANILLA DE CALCULOS '!J27&gt;0,"Articulo 12:","  ")</f>
        <v>  </v>
      </c>
      <c r="C38" s="1249"/>
      <c r="D38" s="1249"/>
      <c r="E38" s="1249"/>
      <c r="F38" s="1249"/>
      <c r="G38" s="1255" t="str">
        <f>+IF('PLANILLA DE CALCULOS '!J27&gt;0,"El  COMITENTE,  toma  a  su  EXCLUSIVO  CARGO  la  EJECUCION  de  la  obra  COMO  EMPRESARIO por ADMINISTRACION, y por tal motivo es el unico responsable de las obligaciones que conlleva el Rol de EMPRESARIO.","   ")</f>
        <v>   </v>
      </c>
      <c r="H38" s="1255"/>
      <c r="I38" s="1255"/>
      <c r="J38" s="1255"/>
      <c r="K38" s="1255"/>
      <c r="L38" s="1255"/>
      <c r="M38" s="1255"/>
      <c r="N38" s="1255"/>
      <c r="O38" s="1255"/>
      <c r="P38" s="1255"/>
      <c r="Q38" s="1255"/>
      <c r="R38" s="1255"/>
      <c r="S38" s="1255"/>
      <c r="T38" s="1255"/>
      <c r="U38" s="1255"/>
      <c r="V38" s="1255"/>
      <c r="W38" s="1255"/>
      <c r="X38" s="1255"/>
      <c r="Y38" s="1255"/>
      <c r="Z38" s="1255"/>
      <c r="AA38" s="1255"/>
      <c r="AB38" s="1255"/>
      <c r="AC38" s="1255"/>
      <c r="AD38" s="1255"/>
      <c r="AE38" s="1255"/>
      <c r="AF38" s="1255"/>
      <c r="AG38" s="1255"/>
      <c r="AH38" s="1255"/>
      <c r="AI38" s="1255"/>
      <c r="AJ38" s="1255"/>
      <c r="AK38" s="1255"/>
      <c r="AL38" s="1255"/>
      <c r="AM38" s="1255"/>
      <c r="AN38" s="1255"/>
      <c r="AO38" s="1255"/>
      <c r="AP38" s="1255"/>
      <c r="AQ38" s="1255"/>
      <c r="AR38" s="1255"/>
      <c r="AS38" s="1255"/>
      <c r="AT38" s="1255"/>
      <c r="AU38" s="1255"/>
      <c r="AV38" s="1255"/>
      <c r="AW38" s="1255"/>
      <c r="AX38" s="1255"/>
      <c r="AY38" s="1255"/>
      <c r="AZ38" s="1255"/>
      <c r="BA38" s="1255"/>
      <c r="BB38" s="1255"/>
      <c r="BC38" s="1255"/>
      <c r="BD38" s="1255"/>
      <c r="BE38" s="1255"/>
      <c r="BF38" s="1255"/>
      <c r="BG38" s="1255"/>
      <c r="BH38" s="1255"/>
      <c r="BI38" s="1255"/>
      <c r="BJ38" s="1255"/>
      <c r="BL38" s="937"/>
      <c r="BM38" s="696"/>
    </row>
    <row r="39" spans="1:70" s="713" customFormat="1" ht="19.5" customHeight="1">
      <c r="A39" s="936"/>
      <c r="B39" s="689"/>
      <c r="C39" s="687"/>
      <c r="D39" s="687"/>
      <c r="E39" s="687"/>
      <c r="F39" s="687"/>
      <c r="G39" s="1255"/>
      <c r="H39" s="1255"/>
      <c r="I39" s="1255"/>
      <c r="J39" s="1255"/>
      <c r="K39" s="1255"/>
      <c r="L39" s="1255"/>
      <c r="M39" s="1255"/>
      <c r="N39" s="1255"/>
      <c r="O39" s="1255"/>
      <c r="P39" s="1255"/>
      <c r="Q39" s="1255"/>
      <c r="R39" s="1255"/>
      <c r="S39" s="1255"/>
      <c r="T39" s="1255"/>
      <c r="U39" s="1255"/>
      <c r="V39" s="1255"/>
      <c r="W39" s="1255"/>
      <c r="X39" s="1255"/>
      <c r="Y39" s="1255"/>
      <c r="Z39" s="1255"/>
      <c r="AA39" s="1255"/>
      <c r="AB39" s="1255"/>
      <c r="AC39" s="1255"/>
      <c r="AD39" s="1255"/>
      <c r="AE39" s="1255"/>
      <c r="AF39" s="1255"/>
      <c r="AG39" s="1255"/>
      <c r="AH39" s="1255"/>
      <c r="AI39" s="1255"/>
      <c r="AJ39" s="1255"/>
      <c r="AK39" s="1255"/>
      <c r="AL39" s="1255"/>
      <c r="AM39" s="1255"/>
      <c r="AN39" s="1255"/>
      <c r="AO39" s="1255"/>
      <c r="AP39" s="1255"/>
      <c r="AQ39" s="1255"/>
      <c r="AR39" s="1255"/>
      <c r="AS39" s="1255"/>
      <c r="AT39" s="1255"/>
      <c r="AU39" s="1255"/>
      <c r="AV39" s="1255"/>
      <c r="AW39" s="1255"/>
      <c r="AX39" s="1255"/>
      <c r="AY39" s="1255"/>
      <c r="AZ39" s="1255"/>
      <c r="BA39" s="1255"/>
      <c r="BB39" s="1255"/>
      <c r="BC39" s="1255"/>
      <c r="BD39" s="1255"/>
      <c r="BE39" s="1255"/>
      <c r="BF39" s="1255"/>
      <c r="BG39" s="1255"/>
      <c r="BH39" s="1255"/>
      <c r="BI39" s="1255"/>
      <c r="BJ39" s="1255"/>
      <c r="BL39" s="937"/>
      <c r="BM39" s="696"/>
      <c r="BN39" s="696"/>
      <c r="BO39" s="696"/>
      <c r="BP39" s="696"/>
      <c r="BQ39" s="696"/>
      <c r="BR39" s="696"/>
    </row>
    <row r="40" spans="1:70" s="713" customFormat="1" ht="19.5" customHeight="1">
      <c r="A40" s="936"/>
      <c r="B40" s="1249" t="str">
        <f>+IF('PLANILLA DE CALCULOS '!J27&gt;0,"Articulo 13:","  ")</f>
        <v>  </v>
      </c>
      <c r="C40" s="1249"/>
      <c r="D40" s="1249"/>
      <c r="E40" s="1249"/>
      <c r="F40" s="1249"/>
      <c r="G40" s="1265" t="str">
        <f>+IF('PLANILLA DE CALCULOS '!J27&gt;0,"En virtud de lo establecido en el art. 12º es de exclusiva responsabilidad del Comitente, en su ROL de EMPRESARIO la contratacion de todo el personal, en "," ")</f>
        <v> </v>
      </c>
      <c r="H40" s="1265"/>
      <c r="I40" s="1265"/>
      <c r="J40" s="1265"/>
      <c r="K40" s="1265"/>
      <c r="L40" s="1265"/>
      <c r="M40" s="1265"/>
      <c r="N40" s="1265"/>
      <c r="O40" s="1265"/>
      <c r="P40" s="1265"/>
      <c r="Q40" s="1265"/>
      <c r="R40" s="1265"/>
      <c r="S40" s="1265"/>
      <c r="T40" s="1265"/>
      <c r="U40" s="1265"/>
      <c r="V40" s="1265"/>
      <c r="W40" s="1265"/>
      <c r="X40" s="1265"/>
      <c r="Y40" s="1265"/>
      <c r="Z40" s="1265"/>
      <c r="AA40" s="1265"/>
      <c r="AB40" s="1265"/>
      <c r="AC40" s="1265"/>
      <c r="AD40" s="1265"/>
      <c r="AE40" s="1265"/>
      <c r="AF40" s="1265"/>
      <c r="AG40" s="1265"/>
      <c r="AH40" s="1265"/>
      <c r="AI40" s="1265"/>
      <c r="AJ40" s="1265"/>
      <c r="AK40" s="1265"/>
      <c r="AL40" s="1265"/>
      <c r="AM40" s="1265"/>
      <c r="AN40" s="1265"/>
      <c r="AO40" s="1265"/>
      <c r="AP40" s="1265"/>
      <c r="AQ40" s="1265"/>
      <c r="AR40" s="1265"/>
      <c r="AS40" s="1265"/>
      <c r="AT40" s="1265"/>
      <c r="AU40" s="1265"/>
      <c r="AV40" s="1265"/>
      <c r="AW40" s="1265"/>
      <c r="AX40" s="1265"/>
      <c r="AY40" s="1265"/>
      <c r="AZ40" s="1265"/>
      <c r="BA40" s="1265"/>
      <c r="BB40" s="1265"/>
      <c r="BC40" s="1265"/>
      <c r="BD40" s="1265"/>
      <c r="BE40" s="1265"/>
      <c r="BF40" s="1265"/>
      <c r="BG40" s="1265"/>
      <c r="BH40" s="1265"/>
      <c r="BI40" s="1265"/>
      <c r="BJ40" s="1265"/>
      <c r="BK40" s="687"/>
      <c r="BL40" s="937"/>
      <c r="BM40" s="696"/>
      <c r="BN40" s="696"/>
      <c r="BO40" s="696"/>
      <c r="BP40" s="696"/>
      <c r="BQ40" s="696"/>
      <c r="BR40" s="696"/>
    </row>
    <row r="41" spans="1:77" ht="19.5" customHeight="1">
      <c r="A41" s="936"/>
      <c r="B41" s="1259"/>
      <c r="C41" s="1259"/>
      <c r="D41" s="1259"/>
      <c r="E41" s="1259"/>
      <c r="F41" s="1259"/>
      <c r="G41" s="1255" t="str">
        <f>+IF('PLANILLA DE CALCULOS '!J27&gt;0," forma directa o indirecta por medio de empresas contratistas y/o subcontratistas,  para la ejecucion de la obra. En consecuencia, dentro de las obligaciones "," ")</f>
        <v> </v>
      </c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5"/>
      <c r="AI41" s="1255"/>
      <c r="AJ41" s="1255"/>
      <c r="AK41" s="1255"/>
      <c r="AL41" s="1255"/>
      <c r="AM41" s="1255"/>
      <c r="AN41" s="1255"/>
      <c r="AO41" s="1255"/>
      <c r="AP41" s="1255"/>
      <c r="AQ41" s="1255"/>
      <c r="AR41" s="1255"/>
      <c r="AS41" s="1255"/>
      <c r="AT41" s="1255"/>
      <c r="AU41" s="1255"/>
      <c r="AV41" s="1255"/>
      <c r="AW41" s="1255"/>
      <c r="AX41" s="1255"/>
      <c r="AY41" s="1255"/>
      <c r="AZ41" s="1255"/>
      <c r="BA41" s="1255"/>
      <c r="BB41" s="1255"/>
      <c r="BC41" s="1255"/>
      <c r="BD41" s="1255"/>
      <c r="BE41" s="1255"/>
      <c r="BF41" s="1255"/>
      <c r="BG41" s="1255"/>
      <c r="BH41" s="1255"/>
      <c r="BI41" s="1255"/>
      <c r="BJ41" s="1255"/>
      <c r="BL41" s="937"/>
      <c r="BM41" s="726"/>
      <c r="BN41" s="727"/>
      <c r="BO41" s="727"/>
      <c r="BP41" s="727"/>
      <c r="BQ41" s="727"/>
      <c r="BR41" s="727"/>
      <c r="BS41" s="727"/>
      <c r="BT41" s="727"/>
      <c r="BU41" s="727"/>
      <c r="BV41" s="727"/>
      <c r="BW41" s="727"/>
      <c r="BX41" s="727"/>
      <c r="BY41" s="727"/>
    </row>
    <row r="42" spans="1:77" ht="19.5" customHeight="1">
      <c r="A42" s="936"/>
      <c r="B42" s="1259"/>
      <c r="C42" s="1259"/>
      <c r="D42" s="1259"/>
      <c r="E42" s="1259"/>
      <c r="F42" s="1259"/>
      <c r="G42" s="1288" t="str">
        <f>+IF('PLANILLA DE CALCULOS '!J27&gt;0,"asumidas por el  profesional tecnico quedan EXPRESAMENTE EXCLUIDAS  y  NO COMPRENDIDAS   las siguientes obligaciones :","  ")</f>
        <v>  </v>
      </c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8"/>
      <c r="AC42" s="1288"/>
      <c r="AD42" s="1288"/>
      <c r="AE42" s="1288"/>
      <c r="AF42" s="1288"/>
      <c r="AG42" s="1288"/>
      <c r="AH42" s="1288"/>
      <c r="AI42" s="1288"/>
      <c r="AJ42" s="1288"/>
      <c r="AK42" s="1288"/>
      <c r="AL42" s="1288"/>
      <c r="AM42" s="1288"/>
      <c r="AN42" s="1288"/>
      <c r="AO42" s="1288"/>
      <c r="AP42" s="1288"/>
      <c r="AQ42" s="1288"/>
      <c r="AR42" s="1288"/>
      <c r="AS42" s="1288"/>
      <c r="AT42" s="1288"/>
      <c r="AU42" s="1288"/>
      <c r="AV42" s="1288"/>
      <c r="AW42" s="1288"/>
      <c r="AX42" s="1288"/>
      <c r="AY42" s="1288"/>
      <c r="AZ42" s="1288"/>
      <c r="BA42" s="1288"/>
      <c r="BB42" s="1288"/>
      <c r="BC42" s="1288"/>
      <c r="BD42" s="1288"/>
      <c r="BE42" s="1288"/>
      <c r="BF42" s="1288"/>
      <c r="BG42" s="1288"/>
      <c r="BH42" s="1288"/>
      <c r="BI42" s="1288"/>
      <c r="BJ42" s="1288"/>
      <c r="BL42" s="937"/>
      <c r="BM42" s="726"/>
      <c r="BN42" s="727"/>
      <c r="BO42" s="727"/>
      <c r="BP42" s="727"/>
      <c r="BQ42" s="727"/>
      <c r="BR42" s="727"/>
      <c r="BS42" s="727"/>
      <c r="BT42" s="727"/>
      <c r="BU42" s="727"/>
      <c r="BV42" s="727"/>
      <c r="BW42" s="727"/>
      <c r="BX42" s="727"/>
      <c r="BY42" s="727"/>
    </row>
    <row r="43" spans="1:77" ht="19.5" customHeight="1">
      <c r="A43" s="936"/>
      <c r="B43" s="1259"/>
      <c r="C43" s="1259"/>
      <c r="D43" s="1259"/>
      <c r="E43" s="1259"/>
      <c r="F43" s="1259"/>
      <c r="G43" s="1252"/>
      <c r="H43" s="1252"/>
      <c r="I43" s="1252"/>
      <c r="J43" s="1252"/>
      <c r="K43" s="1308" t="str">
        <f>+IF('PLANILLA DE CALCULOS '!J27&gt;0,"a) La contratacion del personal obrero de la costruccion (Ley 22250), el pago de sus remuneraciones, aportes legales (obra social, previcionales, sindicales,etc), indemnizaciones y cualquier otro credito laboral, como asi tambien toda responsabilidad ","  ")</f>
        <v>  </v>
      </c>
      <c r="L43" s="1308"/>
      <c r="M43" s="1308"/>
      <c r="N43" s="1308"/>
      <c r="O43" s="1308"/>
      <c r="P43" s="1308"/>
      <c r="Q43" s="1308"/>
      <c r="R43" s="1308"/>
      <c r="S43" s="1308"/>
      <c r="T43" s="1308"/>
      <c r="U43" s="1308"/>
      <c r="V43" s="1308"/>
      <c r="W43" s="1308"/>
      <c r="X43" s="1308"/>
      <c r="Y43" s="1308"/>
      <c r="Z43" s="1308"/>
      <c r="AA43" s="1308"/>
      <c r="AB43" s="1308"/>
      <c r="AC43" s="1308"/>
      <c r="AD43" s="1308"/>
      <c r="AE43" s="1308"/>
      <c r="AF43" s="1308"/>
      <c r="AG43" s="1308"/>
      <c r="AH43" s="1308"/>
      <c r="AI43" s="1308"/>
      <c r="AJ43" s="1308"/>
      <c r="AK43" s="1308"/>
      <c r="AL43" s="1308"/>
      <c r="AM43" s="1308"/>
      <c r="AN43" s="1308"/>
      <c r="AO43" s="1308"/>
      <c r="AP43" s="1308"/>
      <c r="AQ43" s="1308"/>
      <c r="AR43" s="1308"/>
      <c r="AS43" s="1308"/>
      <c r="AT43" s="1308"/>
      <c r="AU43" s="1308"/>
      <c r="AV43" s="1308"/>
      <c r="AW43" s="1308"/>
      <c r="AX43" s="1308"/>
      <c r="AY43" s="1308"/>
      <c r="AZ43" s="1308"/>
      <c r="BA43" s="1308"/>
      <c r="BB43" s="1308"/>
      <c r="BC43" s="1308"/>
      <c r="BD43" s="1308"/>
      <c r="BE43" s="1308"/>
      <c r="BF43" s="1308"/>
      <c r="BG43" s="728"/>
      <c r="BH43" s="728"/>
      <c r="BI43" s="728"/>
      <c r="BJ43" s="728"/>
      <c r="BL43" s="937"/>
      <c r="BM43" s="726"/>
      <c r="BN43" s="727"/>
      <c r="BO43" s="727"/>
      <c r="BP43" s="727"/>
      <c r="BQ43" s="727"/>
      <c r="BR43" s="727"/>
      <c r="BS43" s="727"/>
      <c r="BT43" s="727"/>
      <c r="BU43" s="727"/>
      <c r="BV43" s="727"/>
      <c r="BW43" s="727"/>
      <c r="BX43" s="727"/>
      <c r="BY43" s="727"/>
    </row>
    <row r="44" spans="1:77" ht="19.5" customHeight="1">
      <c r="A44" s="936"/>
      <c r="B44" s="1259"/>
      <c r="C44" s="1259"/>
      <c r="D44" s="1259"/>
      <c r="E44" s="1259"/>
      <c r="F44" s="1259"/>
      <c r="G44" s="1252"/>
      <c r="H44" s="1252"/>
      <c r="I44" s="1252"/>
      <c r="J44" s="1252"/>
      <c r="K44" s="1308"/>
      <c r="L44" s="1308"/>
      <c r="M44" s="1308"/>
      <c r="N44" s="1308"/>
      <c r="O44" s="1308"/>
      <c r="P44" s="1308"/>
      <c r="Q44" s="1308"/>
      <c r="R44" s="1308"/>
      <c r="S44" s="1308"/>
      <c r="T44" s="1308"/>
      <c r="U44" s="1308"/>
      <c r="V44" s="1308"/>
      <c r="W44" s="1308"/>
      <c r="X44" s="1308"/>
      <c r="Y44" s="1308"/>
      <c r="Z44" s="1308"/>
      <c r="AA44" s="1308"/>
      <c r="AB44" s="1308"/>
      <c r="AC44" s="1308"/>
      <c r="AD44" s="1308"/>
      <c r="AE44" s="1308"/>
      <c r="AF44" s="1308"/>
      <c r="AG44" s="1308"/>
      <c r="AH44" s="1308"/>
      <c r="AI44" s="1308"/>
      <c r="AJ44" s="1308"/>
      <c r="AK44" s="1308"/>
      <c r="AL44" s="1308"/>
      <c r="AM44" s="1308"/>
      <c r="AN44" s="1308"/>
      <c r="AO44" s="1308"/>
      <c r="AP44" s="1308"/>
      <c r="AQ44" s="1308"/>
      <c r="AR44" s="1308"/>
      <c r="AS44" s="1308"/>
      <c r="AT44" s="1308"/>
      <c r="AU44" s="1308"/>
      <c r="AV44" s="1308"/>
      <c r="AW44" s="1308"/>
      <c r="AX44" s="1308"/>
      <c r="AY44" s="1308"/>
      <c r="AZ44" s="1308"/>
      <c r="BA44" s="1308"/>
      <c r="BB44" s="1308"/>
      <c r="BC44" s="1308"/>
      <c r="BD44" s="1308"/>
      <c r="BE44" s="1308"/>
      <c r="BF44" s="1308"/>
      <c r="BG44" s="728"/>
      <c r="BH44" s="728"/>
      <c r="BI44" s="728"/>
      <c r="BJ44" s="728"/>
      <c r="BL44" s="937"/>
      <c r="BM44" s="726"/>
      <c r="BN44" s="727"/>
      <c r="BO44" s="727"/>
      <c r="BP44" s="727"/>
      <c r="BQ44" s="727"/>
      <c r="BR44" s="727"/>
      <c r="BS44" s="727"/>
      <c r="BT44" s="727"/>
      <c r="BU44" s="727"/>
      <c r="BV44" s="727"/>
      <c r="BW44" s="727"/>
      <c r="BX44" s="727"/>
      <c r="BY44" s="727"/>
    </row>
    <row r="45" spans="1:77" ht="19.5" customHeight="1">
      <c r="A45" s="936"/>
      <c r="B45" s="1259"/>
      <c r="C45" s="1259"/>
      <c r="D45" s="1259"/>
      <c r="E45" s="1259"/>
      <c r="F45" s="1259"/>
      <c r="G45" s="1252"/>
      <c r="H45" s="1252"/>
      <c r="I45" s="1252"/>
      <c r="J45" s="1252"/>
      <c r="K45" s="1287" t="str">
        <f>+IF('PLANILLA DE CALCULOS '!J27&gt;0,"   laboral, civil y/o penal que  pudiera derivar de dicha relacion conforme a normativas vigentes.."," ")</f>
        <v> </v>
      </c>
      <c r="L45" s="1287"/>
      <c r="M45" s="1287"/>
      <c r="N45" s="1287"/>
      <c r="O45" s="1287"/>
      <c r="P45" s="1287"/>
      <c r="Q45" s="1287"/>
      <c r="R45" s="1287"/>
      <c r="S45" s="1287"/>
      <c r="T45" s="1287"/>
      <c r="U45" s="1287"/>
      <c r="V45" s="1287"/>
      <c r="W45" s="1287"/>
      <c r="X45" s="1287"/>
      <c r="Y45" s="1287"/>
      <c r="Z45" s="1287"/>
      <c r="AA45" s="1287"/>
      <c r="AB45" s="1287"/>
      <c r="AC45" s="1287"/>
      <c r="AD45" s="1287"/>
      <c r="AE45" s="1287"/>
      <c r="AF45" s="1287"/>
      <c r="AG45" s="1287"/>
      <c r="AH45" s="1287"/>
      <c r="AI45" s="1287"/>
      <c r="AJ45" s="1287"/>
      <c r="AK45" s="1287"/>
      <c r="AL45" s="1287"/>
      <c r="AM45" s="1287"/>
      <c r="AN45" s="1287"/>
      <c r="AO45" s="1287"/>
      <c r="AP45" s="1287"/>
      <c r="AQ45" s="1287"/>
      <c r="AR45" s="1287"/>
      <c r="AS45" s="1287"/>
      <c r="AT45" s="1287"/>
      <c r="AU45" s="1287"/>
      <c r="AV45" s="1287"/>
      <c r="AW45" s="1287"/>
      <c r="AX45" s="1287"/>
      <c r="AY45" s="1287"/>
      <c r="AZ45" s="1287"/>
      <c r="BA45" s="1287"/>
      <c r="BB45" s="1287"/>
      <c r="BC45" s="1287"/>
      <c r="BD45" s="1287"/>
      <c r="BE45" s="1287"/>
      <c r="BF45" s="1287"/>
      <c r="BG45" s="1287"/>
      <c r="BH45" s="1287"/>
      <c r="BI45" s="1287"/>
      <c r="BJ45" s="1287"/>
      <c r="BL45" s="937"/>
      <c r="BM45" s="726"/>
      <c r="BN45" s="727"/>
      <c r="BO45" s="727"/>
      <c r="BP45" s="727"/>
      <c r="BQ45" s="727"/>
      <c r="BR45" s="727"/>
      <c r="BS45" s="727"/>
      <c r="BT45" s="727"/>
      <c r="BU45" s="727"/>
      <c r="BV45" s="727"/>
      <c r="BW45" s="727"/>
      <c r="BX45" s="727"/>
      <c r="BY45" s="727"/>
    </row>
    <row r="46" spans="1:77" ht="19.5" customHeight="1">
      <c r="A46" s="936"/>
      <c r="B46" s="1259"/>
      <c r="C46" s="1259"/>
      <c r="D46" s="1259"/>
      <c r="E46" s="1259"/>
      <c r="F46" s="1259"/>
      <c r="G46" s="1252"/>
      <c r="H46" s="1252"/>
      <c r="I46" s="1252"/>
      <c r="J46" s="1252"/>
      <c r="K46" s="1287" t="str">
        <f>+IF('PLANILLA DE CALCULOS '!J27&gt;0,"b) La contratacion de los seguros de riesgo por accidente de trabajo, de vida y cualquier otro que exigen las normas que rigen la actividad.","  ")</f>
        <v>  </v>
      </c>
      <c r="L46" s="1287"/>
      <c r="M46" s="1287"/>
      <c r="N46" s="1287"/>
      <c r="O46" s="1287"/>
      <c r="P46" s="1287"/>
      <c r="Q46" s="1287"/>
      <c r="R46" s="1287"/>
      <c r="S46" s="1287"/>
      <c r="T46" s="1287"/>
      <c r="U46" s="1287"/>
      <c r="V46" s="1287"/>
      <c r="W46" s="1287"/>
      <c r="X46" s="1287"/>
      <c r="Y46" s="1287"/>
      <c r="Z46" s="1287"/>
      <c r="AA46" s="1287"/>
      <c r="AB46" s="1287"/>
      <c r="AC46" s="1287"/>
      <c r="AD46" s="1287"/>
      <c r="AE46" s="1287"/>
      <c r="AF46" s="1287"/>
      <c r="AG46" s="1287"/>
      <c r="AH46" s="1287"/>
      <c r="AI46" s="1287"/>
      <c r="AJ46" s="1287"/>
      <c r="AK46" s="1287"/>
      <c r="AL46" s="1287"/>
      <c r="AM46" s="1287"/>
      <c r="AN46" s="1287"/>
      <c r="AO46" s="1287"/>
      <c r="AP46" s="1287"/>
      <c r="AQ46" s="1287"/>
      <c r="AR46" s="1287"/>
      <c r="AS46" s="1287"/>
      <c r="AT46" s="1287"/>
      <c r="AU46" s="1287"/>
      <c r="AV46" s="1287"/>
      <c r="AW46" s="1287"/>
      <c r="AX46" s="1287"/>
      <c r="AY46" s="1287"/>
      <c r="AZ46" s="1287"/>
      <c r="BA46" s="1287"/>
      <c r="BB46" s="1287"/>
      <c r="BC46" s="1287"/>
      <c r="BD46" s="1287"/>
      <c r="BE46" s="1287"/>
      <c r="BF46" s="1287"/>
      <c r="BG46" s="1287"/>
      <c r="BH46" s="1287"/>
      <c r="BI46" s="1287"/>
      <c r="BJ46" s="1287"/>
      <c r="BL46" s="937"/>
      <c r="BM46" s="726"/>
      <c r="BN46" s="727"/>
      <c r="BO46" s="727"/>
      <c r="BP46" s="727"/>
      <c r="BQ46" s="727"/>
      <c r="BR46" s="727"/>
      <c r="BS46" s="727"/>
      <c r="BT46" s="727"/>
      <c r="BU46" s="727"/>
      <c r="BV46" s="727"/>
      <c r="BW46" s="727"/>
      <c r="BX46" s="727"/>
      <c r="BY46" s="727"/>
    </row>
    <row r="47" spans="1:77" ht="19.5" customHeight="1">
      <c r="A47" s="936"/>
      <c r="B47" s="1259"/>
      <c r="C47" s="1259"/>
      <c r="D47" s="1259"/>
      <c r="E47" s="1259"/>
      <c r="F47" s="1259"/>
      <c r="G47" s="1252"/>
      <c r="H47" s="1252"/>
      <c r="I47" s="1252"/>
      <c r="J47" s="1252"/>
      <c r="K47" s="1287" t="str">
        <f>+IF('PLANILLA DE CALCULOS '!J27&gt;0,"c) El cumplimiento de las normas de Seguridad e Higiene en el Trabajo y Medicina Laboral.","  ")</f>
        <v>  </v>
      </c>
      <c r="L47" s="1287"/>
      <c r="M47" s="1287"/>
      <c r="N47" s="1287"/>
      <c r="O47" s="1287"/>
      <c r="P47" s="1287"/>
      <c r="Q47" s="1287"/>
      <c r="R47" s="1287"/>
      <c r="S47" s="1287"/>
      <c r="T47" s="1287"/>
      <c r="U47" s="1287"/>
      <c r="V47" s="1287"/>
      <c r="W47" s="1287"/>
      <c r="X47" s="1287"/>
      <c r="Y47" s="1287"/>
      <c r="Z47" s="1287"/>
      <c r="AA47" s="1287"/>
      <c r="AB47" s="1287"/>
      <c r="AC47" s="1287"/>
      <c r="AD47" s="1287"/>
      <c r="AE47" s="1287"/>
      <c r="AF47" s="1287"/>
      <c r="AG47" s="1287"/>
      <c r="AH47" s="1287"/>
      <c r="AI47" s="1287"/>
      <c r="AJ47" s="1287"/>
      <c r="AK47" s="1287"/>
      <c r="AL47" s="1287"/>
      <c r="AM47" s="1287"/>
      <c r="AN47" s="1287"/>
      <c r="AO47" s="1287"/>
      <c r="AP47" s="1287"/>
      <c r="AQ47" s="1287"/>
      <c r="AR47" s="1287"/>
      <c r="AS47" s="1287"/>
      <c r="AT47" s="1287"/>
      <c r="AU47" s="1287"/>
      <c r="AV47" s="1287"/>
      <c r="AW47" s="1287"/>
      <c r="AX47" s="1287"/>
      <c r="AY47" s="1287"/>
      <c r="AZ47" s="1287"/>
      <c r="BA47" s="1287"/>
      <c r="BB47" s="1287"/>
      <c r="BC47" s="1287"/>
      <c r="BD47" s="1287"/>
      <c r="BE47" s="1287"/>
      <c r="BF47" s="1287"/>
      <c r="BG47" s="1287"/>
      <c r="BH47" s="1287"/>
      <c r="BI47" s="1287"/>
      <c r="BJ47" s="1287"/>
      <c r="BL47" s="937"/>
      <c r="BM47" s="726"/>
      <c r="BN47" s="727"/>
      <c r="BO47" s="727"/>
      <c r="BP47" s="727"/>
      <c r="BQ47" s="727"/>
      <c r="BR47" s="727"/>
      <c r="BS47" s="727"/>
      <c r="BT47" s="727"/>
      <c r="BU47" s="727"/>
      <c r="BV47" s="727"/>
      <c r="BW47" s="727"/>
      <c r="BX47" s="727"/>
      <c r="BY47" s="727"/>
    </row>
    <row r="48" spans="1:77" ht="19.5" customHeight="1">
      <c r="A48" s="936"/>
      <c r="B48" s="1259"/>
      <c r="C48" s="1259"/>
      <c r="D48" s="1259"/>
      <c r="E48" s="1259"/>
      <c r="F48" s="1259"/>
      <c r="G48" s="1252"/>
      <c r="H48" s="1252"/>
      <c r="I48" s="1252"/>
      <c r="J48" s="1252"/>
      <c r="K48" s="1287" t="str">
        <f>+IF('PLANILLA DE CALCULOS '!J27&gt;0,"d) La compra de la totalidad de materiales que demande la construccion de la obra.","  ")</f>
        <v>  </v>
      </c>
      <c r="L48" s="1287"/>
      <c r="M48" s="1287"/>
      <c r="N48" s="1287"/>
      <c r="O48" s="1287"/>
      <c r="P48" s="1287"/>
      <c r="Q48" s="1287"/>
      <c r="R48" s="1287"/>
      <c r="S48" s="1287"/>
      <c r="T48" s="1287"/>
      <c r="U48" s="1287"/>
      <c r="V48" s="1287"/>
      <c r="W48" s="1287"/>
      <c r="X48" s="1287"/>
      <c r="Y48" s="1287"/>
      <c r="Z48" s="1287"/>
      <c r="AA48" s="1287"/>
      <c r="AB48" s="1287"/>
      <c r="AC48" s="1287"/>
      <c r="AD48" s="1287"/>
      <c r="AE48" s="1287"/>
      <c r="AF48" s="1287"/>
      <c r="AG48" s="1287"/>
      <c r="AH48" s="1287"/>
      <c r="AI48" s="1287"/>
      <c r="AJ48" s="1287"/>
      <c r="AK48" s="1287"/>
      <c r="AL48" s="1287"/>
      <c r="AM48" s="1287"/>
      <c r="AN48" s="1287"/>
      <c r="AO48" s="1287"/>
      <c r="AP48" s="1287"/>
      <c r="AQ48" s="1287"/>
      <c r="AR48" s="1287"/>
      <c r="AS48" s="1287"/>
      <c r="AT48" s="1287"/>
      <c r="AU48" s="1287"/>
      <c r="AV48" s="1287"/>
      <c r="AW48" s="1287"/>
      <c r="AX48" s="1287"/>
      <c r="AY48" s="1287"/>
      <c r="AZ48" s="1287"/>
      <c r="BA48" s="1287"/>
      <c r="BB48" s="1287"/>
      <c r="BC48" s="1287"/>
      <c r="BD48" s="1287"/>
      <c r="BE48" s="1287"/>
      <c r="BF48" s="1287"/>
      <c r="BG48" s="1287"/>
      <c r="BH48" s="1287"/>
      <c r="BI48" s="1287"/>
      <c r="BJ48" s="1287"/>
      <c r="BL48" s="937"/>
      <c r="BM48" s="726"/>
      <c r="BN48" s="727"/>
      <c r="BO48" s="727"/>
      <c r="BP48" s="727"/>
      <c r="BQ48" s="727"/>
      <c r="BR48" s="727"/>
      <c r="BS48" s="727"/>
      <c r="BT48" s="727"/>
      <c r="BU48" s="727"/>
      <c r="BV48" s="727"/>
      <c r="BW48" s="727"/>
      <c r="BX48" s="727"/>
      <c r="BY48" s="727"/>
    </row>
    <row r="49" spans="1:77" ht="19.5" customHeight="1">
      <c r="A49" s="936"/>
      <c r="B49" s="1259"/>
      <c r="C49" s="1259"/>
      <c r="D49" s="1259"/>
      <c r="E49" s="1259"/>
      <c r="F49" s="1259"/>
      <c r="G49" s="1289" t="str">
        <f>+IF('PLANILLA DE CALCULOS '!J27&gt;0,"Nota:","  ")</f>
        <v>  </v>
      </c>
      <c r="H49" s="1289"/>
      <c r="I49" s="1289"/>
      <c r="J49" s="1255" t="str">
        <f>+IF('PLANILLA DE CALCULOS '!J27&gt;0,"Cualquier daño causado a TERCEROS  por contratistas, subcontratistas y/o personal dependiente y/o cosas existentes en la obra, quèdan bajo exclusiva responsabilidad del Comitente, dejando eximido EL PROFESIONAL de toda posible accion en su contra.","  ")</f>
        <v>  </v>
      </c>
      <c r="K49" s="1255"/>
      <c r="L49" s="1255"/>
      <c r="M49" s="1255"/>
      <c r="N49" s="1255"/>
      <c r="O49" s="1255"/>
      <c r="P49" s="1255"/>
      <c r="Q49" s="1255"/>
      <c r="R49" s="1255"/>
      <c r="S49" s="1255"/>
      <c r="T49" s="1255"/>
      <c r="U49" s="1255"/>
      <c r="V49" s="1255"/>
      <c r="W49" s="1255"/>
      <c r="X49" s="1255"/>
      <c r="Y49" s="1255"/>
      <c r="Z49" s="1255"/>
      <c r="AA49" s="1255"/>
      <c r="AB49" s="1255"/>
      <c r="AC49" s="1255"/>
      <c r="AD49" s="1255"/>
      <c r="AE49" s="1255"/>
      <c r="AF49" s="1255"/>
      <c r="AG49" s="1255"/>
      <c r="AH49" s="1255"/>
      <c r="AI49" s="1255"/>
      <c r="AJ49" s="1255"/>
      <c r="AK49" s="1255"/>
      <c r="AL49" s="1255"/>
      <c r="AM49" s="1255"/>
      <c r="AN49" s="1255"/>
      <c r="AO49" s="1255"/>
      <c r="AP49" s="1255"/>
      <c r="AQ49" s="1255"/>
      <c r="AR49" s="1255"/>
      <c r="AS49" s="1255"/>
      <c r="AT49" s="1255"/>
      <c r="AU49" s="1255"/>
      <c r="AV49" s="1255"/>
      <c r="AW49" s="1255"/>
      <c r="AX49" s="1255"/>
      <c r="AY49" s="1255"/>
      <c r="AZ49" s="1255"/>
      <c r="BA49" s="1255"/>
      <c r="BB49" s="1255"/>
      <c r="BC49" s="1255"/>
      <c r="BD49" s="1255"/>
      <c r="BE49" s="1255"/>
      <c r="BF49" s="1255"/>
      <c r="BG49" s="1255"/>
      <c r="BH49" s="1255"/>
      <c r="BI49" s="1255"/>
      <c r="BJ49" s="1255"/>
      <c r="BL49" s="937"/>
      <c r="BM49" s="726"/>
      <c r="BN49" s="727"/>
      <c r="BO49" s="727"/>
      <c r="BP49" s="727"/>
      <c r="BQ49" s="727"/>
      <c r="BR49" s="727"/>
      <c r="BS49" s="727"/>
      <c r="BT49" s="727"/>
      <c r="BU49" s="727"/>
      <c r="BV49" s="727"/>
      <c r="BW49" s="727"/>
      <c r="BX49" s="727"/>
      <c r="BY49" s="727"/>
    </row>
    <row r="50" spans="1:77" ht="19.5" customHeight="1">
      <c r="A50" s="936"/>
      <c r="B50" s="1259"/>
      <c r="C50" s="1259"/>
      <c r="D50" s="1259"/>
      <c r="E50" s="1259"/>
      <c r="F50" s="1259"/>
      <c r="G50" s="729"/>
      <c r="H50" s="729"/>
      <c r="I50" s="729"/>
      <c r="J50" s="1255"/>
      <c r="K50" s="1255"/>
      <c r="L50" s="1255"/>
      <c r="M50" s="1255"/>
      <c r="N50" s="1255"/>
      <c r="O50" s="1255"/>
      <c r="P50" s="1255"/>
      <c r="Q50" s="1255"/>
      <c r="R50" s="1255"/>
      <c r="S50" s="1255"/>
      <c r="T50" s="1255"/>
      <c r="U50" s="1255"/>
      <c r="V50" s="1255"/>
      <c r="W50" s="1255"/>
      <c r="X50" s="1255"/>
      <c r="Y50" s="1255"/>
      <c r="Z50" s="1255"/>
      <c r="AA50" s="1255"/>
      <c r="AB50" s="1255"/>
      <c r="AC50" s="1255"/>
      <c r="AD50" s="1255"/>
      <c r="AE50" s="1255"/>
      <c r="AF50" s="1255"/>
      <c r="AG50" s="1255"/>
      <c r="AH50" s="1255"/>
      <c r="AI50" s="1255"/>
      <c r="AJ50" s="1255"/>
      <c r="AK50" s="1255"/>
      <c r="AL50" s="1255"/>
      <c r="AM50" s="1255"/>
      <c r="AN50" s="1255"/>
      <c r="AO50" s="1255"/>
      <c r="AP50" s="1255"/>
      <c r="AQ50" s="1255"/>
      <c r="AR50" s="1255"/>
      <c r="AS50" s="1255"/>
      <c r="AT50" s="1255"/>
      <c r="AU50" s="1255"/>
      <c r="AV50" s="1255"/>
      <c r="AW50" s="1255"/>
      <c r="AX50" s="1255"/>
      <c r="AY50" s="1255"/>
      <c r="AZ50" s="1255"/>
      <c r="BA50" s="1255"/>
      <c r="BB50" s="1255"/>
      <c r="BC50" s="1255"/>
      <c r="BD50" s="1255"/>
      <c r="BE50" s="1255"/>
      <c r="BF50" s="1255"/>
      <c r="BG50" s="1255"/>
      <c r="BH50" s="1255"/>
      <c r="BI50" s="1255"/>
      <c r="BJ50" s="1255"/>
      <c r="BL50" s="937"/>
      <c r="BM50" s="718"/>
      <c r="BN50" s="727"/>
      <c r="BO50" s="727"/>
      <c r="BP50" s="727"/>
      <c r="BQ50" s="727"/>
      <c r="BR50" s="727"/>
      <c r="BS50" s="727"/>
      <c r="BT50" s="727"/>
      <c r="BU50" s="727"/>
      <c r="BV50" s="727"/>
      <c r="BW50" s="727"/>
      <c r="BX50" s="727"/>
      <c r="BY50" s="727"/>
    </row>
    <row r="51" spans="1:77" ht="19.5" customHeight="1" thickBot="1">
      <c r="A51" s="936"/>
      <c r="B51" s="1249" t="str">
        <f>+IF('PLANILLA DE CALCULOS '!J27&gt;0,"Articulo 14:","  ")</f>
        <v>  </v>
      </c>
      <c r="C51" s="1249"/>
      <c r="D51" s="1249"/>
      <c r="E51" s="1249"/>
      <c r="F51" s="1249"/>
      <c r="G51" s="1254" t="str">
        <f>+IF('PLANILLA DE CALCULOS '!J27&gt;0,('INGRESO DE DATOS'!G47),"  ")</f>
        <v>  </v>
      </c>
      <c r="H51" s="1254"/>
      <c r="I51" s="1254"/>
      <c r="J51" s="1254"/>
      <c r="K51" s="1254"/>
      <c r="L51" s="1254"/>
      <c r="M51" s="1254"/>
      <c r="N51" s="1254"/>
      <c r="O51" s="1254"/>
      <c r="P51" s="1254"/>
      <c r="Q51" s="1254"/>
      <c r="R51" s="1254"/>
      <c r="S51" s="1254"/>
      <c r="T51" s="1254"/>
      <c r="U51" s="1254"/>
      <c r="V51" s="1254"/>
      <c r="W51" s="1254"/>
      <c r="X51" s="1254"/>
      <c r="Y51" s="1254"/>
      <c r="Z51" s="1254"/>
      <c r="AA51" s="1254"/>
      <c r="AB51" s="1254"/>
      <c r="AC51" s="1254"/>
      <c r="AD51" s="1254"/>
      <c r="AE51" s="1254"/>
      <c r="AF51" s="1254"/>
      <c r="AG51" s="1254"/>
      <c r="AH51" s="1254"/>
      <c r="AI51" s="1254"/>
      <c r="AJ51" s="1254"/>
      <c r="AK51" s="1254"/>
      <c r="AL51" s="1254"/>
      <c r="AM51" s="1254"/>
      <c r="AN51" s="1254"/>
      <c r="AO51" s="1254"/>
      <c r="AP51" s="1254"/>
      <c r="AQ51" s="1254"/>
      <c r="AR51" s="1254"/>
      <c r="AS51" s="1254"/>
      <c r="AT51" s="1254"/>
      <c r="AU51" s="1254"/>
      <c r="AV51" s="1254"/>
      <c r="AW51" s="1254"/>
      <c r="AX51" s="1254"/>
      <c r="AY51" s="1254"/>
      <c r="AZ51" s="1254"/>
      <c r="BA51" s="1254"/>
      <c r="BB51" s="1254"/>
      <c r="BC51" s="1254"/>
      <c r="BD51" s="1254"/>
      <c r="BE51" s="1254"/>
      <c r="BF51" s="1254"/>
      <c r="BG51" s="1254"/>
      <c r="BH51" s="1254"/>
      <c r="BI51" s="1254"/>
      <c r="BJ51" s="1254"/>
      <c r="BL51" s="937"/>
      <c r="BM51" s="688"/>
      <c r="BN51" s="688"/>
      <c r="BO51" s="688"/>
      <c r="BP51" s="688"/>
      <c r="BQ51" s="688"/>
      <c r="BR51" s="688"/>
      <c r="BS51" s="688"/>
      <c r="BT51" s="688"/>
      <c r="BU51" s="688"/>
      <c r="BV51" s="688"/>
      <c r="BW51" s="688"/>
      <c r="BX51" s="688"/>
      <c r="BY51" s="688"/>
    </row>
    <row r="52" spans="1:77" ht="30" customHeight="1">
      <c r="A52" s="936"/>
      <c r="B52" s="1283" t="s">
        <v>614</v>
      </c>
      <c r="C52" s="1284"/>
      <c r="D52" s="1284"/>
      <c r="E52" s="1284"/>
      <c r="F52" s="1284"/>
      <c r="G52" s="1284"/>
      <c r="H52" s="1284"/>
      <c r="I52" s="1284"/>
      <c r="J52" s="1284"/>
      <c r="K52" s="1284"/>
      <c r="L52" s="1284"/>
      <c r="M52" s="1284"/>
      <c r="N52" s="1284"/>
      <c r="O52" s="1284"/>
      <c r="P52" s="1284"/>
      <c r="Q52" s="1284"/>
      <c r="R52" s="1284"/>
      <c r="S52" s="1284"/>
      <c r="T52" s="1284"/>
      <c r="U52" s="1284"/>
      <c r="V52" s="1284"/>
      <c r="W52" s="1284"/>
      <c r="X52" s="1284"/>
      <c r="Y52" s="1284"/>
      <c r="Z52" s="1284"/>
      <c r="AA52" s="1284"/>
      <c r="AB52" s="1284"/>
      <c r="AC52" s="1284"/>
      <c r="AD52" s="1284"/>
      <c r="AE52" s="1284"/>
      <c r="AF52" s="1284"/>
      <c r="AG52" s="1284"/>
      <c r="AH52" s="1284"/>
      <c r="AI52" s="1284"/>
      <c r="AJ52" s="1285"/>
      <c r="AK52" s="1252"/>
      <c r="AL52" s="1220" t="s">
        <v>95</v>
      </c>
      <c r="AM52" s="1221"/>
      <c r="AN52" s="1221"/>
      <c r="AO52" s="1221"/>
      <c r="AP52" s="1222"/>
      <c r="AQ52" s="1220"/>
      <c r="AR52" s="1221"/>
      <c r="AS52" s="1221"/>
      <c r="AT52" s="1221"/>
      <c r="AU52" s="1221"/>
      <c r="AV52" s="1221"/>
      <c r="AW52" s="1221"/>
      <c r="AX52" s="1221"/>
      <c r="AY52" s="1221"/>
      <c r="AZ52" s="1221"/>
      <c r="BA52" s="1221"/>
      <c r="BB52" s="1221"/>
      <c r="BC52" s="1221"/>
      <c r="BD52" s="1221"/>
      <c r="BE52" s="1221"/>
      <c r="BF52" s="1221"/>
      <c r="BG52" s="1221"/>
      <c r="BH52" s="1221"/>
      <c r="BI52" s="1222"/>
      <c r="BJ52" s="1252"/>
      <c r="BK52" s="1252"/>
      <c r="BL52" s="937"/>
      <c r="BM52" s="688"/>
      <c r="BN52" s="688"/>
      <c r="BO52" s="688"/>
      <c r="BP52" s="688"/>
      <c r="BQ52" s="688"/>
      <c r="BR52" s="688"/>
      <c r="BS52" s="688"/>
      <c r="BT52" s="688"/>
      <c r="BU52" s="688"/>
      <c r="BV52" s="688"/>
      <c r="BW52" s="688"/>
      <c r="BX52" s="688"/>
      <c r="BY52" s="688"/>
    </row>
    <row r="53" spans="1:72" ht="19.5" customHeight="1">
      <c r="A53" s="936"/>
      <c r="B53" s="1238" t="str">
        <f>'INGRESO DE DATOS'!$G$54</f>
        <v> </v>
      </c>
      <c r="C53" s="1239"/>
      <c r="D53" s="1239"/>
      <c r="E53" s="1239"/>
      <c r="F53" s="1239"/>
      <c r="G53" s="1239"/>
      <c r="H53" s="1239"/>
      <c r="I53" s="1239"/>
      <c r="J53" s="1239"/>
      <c r="K53" s="1239"/>
      <c r="L53" s="1239"/>
      <c r="M53" s="1239"/>
      <c r="N53" s="1239"/>
      <c r="O53" s="1239"/>
      <c r="P53" s="1239"/>
      <c r="Q53" s="1239"/>
      <c r="R53" s="1239"/>
      <c r="S53" s="1239"/>
      <c r="T53" s="1239"/>
      <c r="U53" s="1239"/>
      <c r="V53" s="1239"/>
      <c r="W53" s="1239"/>
      <c r="X53" s="1239"/>
      <c r="Y53" s="1239"/>
      <c r="Z53" s="1239"/>
      <c r="AA53" s="1239"/>
      <c r="AB53" s="1239"/>
      <c r="AC53" s="1239"/>
      <c r="AD53" s="1239"/>
      <c r="AE53" s="1239"/>
      <c r="AF53" s="1239"/>
      <c r="AG53" s="1239"/>
      <c r="AH53" s="1239"/>
      <c r="AI53" s="1239"/>
      <c r="AJ53" s="1240"/>
      <c r="AK53" s="1252"/>
      <c r="AL53" s="1223"/>
      <c r="AM53" s="1224"/>
      <c r="AN53" s="1224"/>
      <c r="AO53" s="1224"/>
      <c r="AP53" s="1225"/>
      <c r="AQ53" s="1223"/>
      <c r="AR53" s="1224"/>
      <c r="AS53" s="1224"/>
      <c r="AT53" s="1224"/>
      <c r="AU53" s="1224"/>
      <c r="AV53" s="1224"/>
      <c r="AW53" s="1224"/>
      <c r="AX53" s="1224"/>
      <c r="AY53" s="1224"/>
      <c r="AZ53" s="1224"/>
      <c r="BA53" s="1224"/>
      <c r="BB53" s="1224"/>
      <c r="BC53" s="1224"/>
      <c r="BD53" s="1224"/>
      <c r="BE53" s="1224"/>
      <c r="BF53" s="1224"/>
      <c r="BG53" s="1224"/>
      <c r="BH53" s="1224"/>
      <c r="BI53" s="1225"/>
      <c r="BJ53" s="1252"/>
      <c r="BK53" s="1252"/>
      <c r="BL53" s="937"/>
      <c r="BQ53" s="688"/>
      <c r="BR53" s="730"/>
      <c r="BS53" s="730"/>
      <c r="BT53" s="730"/>
    </row>
    <row r="54" spans="1:64" ht="19.5" customHeight="1" thickBot="1">
      <c r="A54" s="936"/>
      <c r="B54" s="1238"/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40"/>
      <c r="AK54" s="1252"/>
      <c r="AL54" s="1226"/>
      <c r="AM54" s="1227"/>
      <c r="AN54" s="1227"/>
      <c r="AO54" s="1227"/>
      <c r="AP54" s="1228"/>
      <c r="AQ54" s="1226"/>
      <c r="AR54" s="1227"/>
      <c r="AS54" s="1227"/>
      <c r="AT54" s="1227"/>
      <c r="AU54" s="1227"/>
      <c r="AV54" s="1227"/>
      <c r="AW54" s="1227"/>
      <c r="AX54" s="1227"/>
      <c r="AY54" s="1227"/>
      <c r="AZ54" s="1227"/>
      <c r="BA54" s="1227"/>
      <c r="BB54" s="1227"/>
      <c r="BC54" s="1227"/>
      <c r="BD54" s="1227"/>
      <c r="BE54" s="1227"/>
      <c r="BF54" s="1227"/>
      <c r="BG54" s="1227"/>
      <c r="BH54" s="1227"/>
      <c r="BI54" s="1228"/>
      <c r="BJ54" s="1252"/>
      <c r="BK54" s="1252"/>
      <c r="BL54" s="937"/>
    </row>
    <row r="55" spans="1:64" ht="19.5" customHeight="1" thickBot="1">
      <c r="A55" s="936"/>
      <c r="B55" s="1241"/>
      <c r="C55" s="1242"/>
      <c r="D55" s="1242"/>
      <c r="E55" s="1242"/>
      <c r="F55" s="1242"/>
      <c r="G55" s="1242"/>
      <c r="H55" s="1242"/>
      <c r="I55" s="1242"/>
      <c r="J55" s="1242"/>
      <c r="K55" s="1242"/>
      <c r="L55" s="1242"/>
      <c r="M55" s="1242"/>
      <c r="N55" s="1242"/>
      <c r="O55" s="1242"/>
      <c r="P55" s="1242"/>
      <c r="Q55" s="1242"/>
      <c r="R55" s="1242"/>
      <c r="S55" s="1242"/>
      <c r="T55" s="1242"/>
      <c r="U55" s="1242"/>
      <c r="V55" s="1242"/>
      <c r="W55" s="1242"/>
      <c r="X55" s="1242"/>
      <c r="Y55" s="1242"/>
      <c r="Z55" s="1242"/>
      <c r="AA55" s="1242"/>
      <c r="AB55" s="1242"/>
      <c r="AC55" s="1242"/>
      <c r="AD55" s="1242"/>
      <c r="AE55" s="1242"/>
      <c r="AF55" s="1242"/>
      <c r="AG55" s="1242"/>
      <c r="AH55" s="1242"/>
      <c r="AI55" s="1242"/>
      <c r="AJ55" s="1243"/>
      <c r="AK55" s="1252"/>
      <c r="AL55" s="1281"/>
      <c r="AM55" s="1281"/>
      <c r="AN55" s="1281"/>
      <c r="AO55" s="1281"/>
      <c r="AP55" s="1281"/>
      <c r="AQ55" s="1281"/>
      <c r="AR55" s="1281"/>
      <c r="AS55" s="1281"/>
      <c r="AT55" s="1281"/>
      <c r="AU55" s="1281"/>
      <c r="AV55" s="1281"/>
      <c r="AW55" s="1281"/>
      <c r="AX55" s="1281"/>
      <c r="AY55" s="1281"/>
      <c r="AZ55" s="1281"/>
      <c r="BA55" s="1281"/>
      <c r="BB55" s="1281"/>
      <c r="BC55" s="1281"/>
      <c r="BD55" s="1281"/>
      <c r="BE55" s="1281"/>
      <c r="BF55" s="1281"/>
      <c r="BG55" s="1281"/>
      <c r="BH55" s="1281"/>
      <c r="BI55" s="1281"/>
      <c r="BJ55" s="1252"/>
      <c r="BK55" s="1252"/>
      <c r="BL55" s="937"/>
    </row>
    <row r="56" spans="1:64" ht="19.5" customHeight="1">
      <c r="A56" s="936"/>
      <c r="B56" s="1282"/>
      <c r="C56" s="1282"/>
      <c r="D56" s="1282"/>
      <c r="E56" s="1282"/>
      <c r="F56" s="1282"/>
      <c r="G56" s="1282"/>
      <c r="H56" s="1282"/>
      <c r="I56" s="1282"/>
      <c r="J56" s="1282"/>
      <c r="K56" s="1282"/>
      <c r="L56" s="1282"/>
      <c r="M56" s="1282"/>
      <c r="N56" s="1282"/>
      <c r="O56" s="1282"/>
      <c r="P56" s="1282"/>
      <c r="Q56" s="1282"/>
      <c r="R56" s="1282"/>
      <c r="S56" s="1282"/>
      <c r="T56" s="1282"/>
      <c r="U56" s="1282"/>
      <c r="V56" s="1282"/>
      <c r="W56" s="1282"/>
      <c r="X56" s="1282"/>
      <c r="Y56" s="1282"/>
      <c r="Z56" s="1282"/>
      <c r="AA56" s="1282"/>
      <c r="AB56" s="1282"/>
      <c r="AC56" s="1282"/>
      <c r="AD56" s="1282"/>
      <c r="AE56" s="1282"/>
      <c r="AF56" s="1282"/>
      <c r="AG56" s="1282"/>
      <c r="AH56" s="1282"/>
      <c r="AI56" s="1282"/>
      <c r="AJ56" s="1282"/>
      <c r="AK56" s="1252"/>
      <c r="AL56" s="1229"/>
      <c r="AM56" s="1230"/>
      <c r="AN56" s="1230"/>
      <c r="AO56" s="1230"/>
      <c r="AP56" s="1230"/>
      <c r="AQ56" s="1230"/>
      <c r="AR56" s="1230"/>
      <c r="AS56" s="1230"/>
      <c r="AT56" s="1230"/>
      <c r="AU56" s="1230"/>
      <c r="AV56" s="1230"/>
      <c r="AW56" s="1230"/>
      <c r="AX56" s="1230"/>
      <c r="AY56" s="1230"/>
      <c r="AZ56" s="1230"/>
      <c r="BA56" s="1230"/>
      <c r="BB56" s="1230"/>
      <c r="BC56" s="1230"/>
      <c r="BD56" s="1230"/>
      <c r="BE56" s="1230"/>
      <c r="BF56" s="1230"/>
      <c r="BG56" s="1230"/>
      <c r="BH56" s="1230"/>
      <c r="BI56" s="1231"/>
      <c r="BJ56" s="1252"/>
      <c r="BK56" s="1252"/>
      <c r="BL56" s="937"/>
    </row>
    <row r="57" spans="1:78" ht="19.5" customHeight="1">
      <c r="A57" s="936"/>
      <c r="B57" s="1239"/>
      <c r="C57" s="1239"/>
      <c r="D57" s="1239"/>
      <c r="E57" s="1239"/>
      <c r="F57" s="1239"/>
      <c r="G57" s="1239"/>
      <c r="H57" s="1239"/>
      <c r="I57" s="1239"/>
      <c r="J57" s="1239"/>
      <c r="K57" s="1239"/>
      <c r="L57" s="1239"/>
      <c r="M57" s="1239"/>
      <c r="N57" s="1239"/>
      <c r="O57" s="1239"/>
      <c r="P57" s="1239"/>
      <c r="Q57" s="1239"/>
      <c r="R57" s="1239"/>
      <c r="S57" s="1239"/>
      <c r="T57" s="1239"/>
      <c r="U57" s="1239"/>
      <c r="V57" s="1239"/>
      <c r="W57" s="1239"/>
      <c r="X57" s="1239"/>
      <c r="Y57" s="1239"/>
      <c r="Z57" s="1239"/>
      <c r="AA57" s="1239"/>
      <c r="AB57" s="1239"/>
      <c r="AC57" s="1239"/>
      <c r="AD57" s="1239"/>
      <c r="AE57" s="1239"/>
      <c r="AF57" s="1239"/>
      <c r="AG57" s="1239"/>
      <c r="AH57" s="1239"/>
      <c r="AI57" s="1239"/>
      <c r="AJ57" s="1239"/>
      <c r="AK57" s="1252"/>
      <c r="AL57" s="1232"/>
      <c r="AM57" s="1233"/>
      <c r="AN57" s="1233"/>
      <c r="AO57" s="1233"/>
      <c r="AP57" s="1233"/>
      <c r="AQ57" s="1233"/>
      <c r="AR57" s="1233"/>
      <c r="AS57" s="1233"/>
      <c r="AT57" s="1233"/>
      <c r="AU57" s="1233"/>
      <c r="AV57" s="1233"/>
      <c r="AW57" s="1233"/>
      <c r="AX57" s="1233"/>
      <c r="AY57" s="1233"/>
      <c r="AZ57" s="1233"/>
      <c r="BA57" s="1233"/>
      <c r="BB57" s="1233"/>
      <c r="BC57" s="1233"/>
      <c r="BD57" s="1233"/>
      <c r="BE57" s="1233"/>
      <c r="BF57" s="1233"/>
      <c r="BG57" s="1233"/>
      <c r="BH57" s="1233"/>
      <c r="BI57" s="1234"/>
      <c r="BJ57" s="1252"/>
      <c r="BK57" s="1252"/>
      <c r="BL57" s="937"/>
      <c r="BM57" s="688"/>
      <c r="BO57" s="688"/>
      <c r="BT57" s="730"/>
      <c r="BZ57" s="718"/>
    </row>
    <row r="58" spans="1:64" ht="6" customHeight="1">
      <c r="A58" s="936"/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981"/>
      <c r="O58" s="981"/>
      <c r="P58" s="981"/>
      <c r="Q58" s="981"/>
      <c r="R58" s="981"/>
      <c r="S58" s="981"/>
      <c r="T58" s="981"/>
      <c r="U58" s="981"/>
      <c r="V58" s="981"/>
      <c r="W58" s="732"/>
      <c r="X58" s="732"/>
      <c r="Y58" s="732"/>
      <c r="Z58" s="732"/>
      <c r="AA58" s="732"/>
      <c r="AB58" s="732"/>
      <c r="AC58" s="732"/>
      <c r="AD58" s="732"/>
      <c r="AE58" s="732"/>
      <c r="AF58" s="732"/>
      <c r="AG58" s="732"/>
      <c r="AH58" s="732"/>
      <c r="AI58" s="732"/>
      <c r="AJ58" s="732"/>
      <c r="AK58" s="1252"/>
      <c r="AL58" s="1232"/>
      <c r="AM58" s="1233"/>
      <c r="AN58" s="1233"/>
      <c r="AO58" s="1233"/>
      <c r="AP58" s="1233"/>
      <c r="AQ58" s="1233"/>
      <c r="AR58" s="1233"/>
      <c r="AS58" s="1233"/>
      <c r="AT58" s="1233"/>
      <c r="AU58" s="1233"/>
      <c r="AV58" s="1233"/>
      <c r="AW58" s="1233"/>
      <c r="AX58" s="1233"/>
      <c r="AY58" s="1233"/>
      <c r="AZ58" s="1233"/>
      <c r="BA58" s="1233"/>
      <c r="BB58" s="1233"/>
      <c r="BC58" s="1233"/>
      <c r="BD58" s="1233"/>
      <c r="BE58" s="1233"/>
      <c r="BF58" s="1233"/>
      <c r="BG58" s="1233"/>
      <c r="BH58" s="1233"/>
      <c r="BI58" s="1234"/>
      <c r="BJ58" s="1252"/>
      <c r="BK58" s="1252"/>
      <c r="BL58" s="937"/>
    </row>
    <row r="59" spans="1:64" s="731" customFormat="1" ht="16.5" customHeight="1">
      <c r="A59" s="936"/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981"/>
      <c r="O59" s="981"/>
      <c r="P59" s="981"/>
      <c r="Q59" s="981"/>
      <c r="R59" s="981"/>
      <c r="S59" s="981"/>
      <c r="T59" s="981"/>
      <c r="U59" s="981"/>
      <c r="V59" s="981"/>
      <c r="W59" s="687"/>
      <c r="X59" s="687"/>
      <c r="Y59" s="687"/>
      <c r="Z59" s="687"/>
      <c r="AA59" s="687"/>
      <c r="AB59" s="687"/>
      <c r="AC59" s="687"/>
      <c r="AD59" s="687"/>
      <c r="AE59" s="687"/>
      <c r="AF59" s="687"/>
      <c r="AG59" s="687"/>
      <c r="AH59" s="687"/>
      <c r="AI59" s="687"/>
      <c r="AJ59" s="687"/>
      <c r="AK59" s="1252"/>
      <c r="AL59" s="1232"/>
      <c r="AM59" s="1233"/>
      <c r="AN59" s="1233"/>
      <c r="AO59" s="1233"/>
      <c r="AP59" s="1233"/>
      <c r="AQ59" s="1233"/>
      <c r="AR59" s="1233"/>
      <c r="AS59" s="1233"/>
      <c r="AT59" s="1233"/>
      <c r="AU59" s="1233"/>
      <c r="AV59" s="1233"/>
      <c r="AW59" s="1233"/>
      <c r="AX59" s="1233"/>
      <c r="AY59" s="1233"/>
      <c r="AZ59" s="1233"/>
      <c r="BA59" s="1233"/>
      <c r="BB59" s="1233"/>
      <c r="BC59" s="1233"/>
      <c r="BD59" s="1233"/>
      <c r="BE59" s="1233"/>
      <c r="BF59" s="1233"/>
      <c r="BG59" s="1233"/>
      <c r="BH59" s="1233"/>
      <c r="BI59" s="1234"/>
      <c r="BJ59" s="1252"/>
      <c r="BK59" s="1252"/>
      <c r="BL59" s="937"/>
    </row>
    <row r="60" spans="1:64" ht="22.5" customHeight="1">
      <c r="A60" s="936"/>
      <c r="B60" s="688" t="s">
        <v>45</v>
      </c>
      <c r="N60" s="981"/>
      <c r="O60" s="981"/>
      <c r="P60" s="981"/>
      <c r="Q60" s="981"/>
      <c r="R60" s="981"/>
      <c r="S60" s="981"/>
      <c r="T60" s="981"/>
      <c r="U60" s="981"/>
      <c r="V60" s="981"/>
      <c r="W60" s="688" t="s">
        <v>44</v>
      </c>
      <c r="X60" s="689"/>
      <c r="Y60" s="730"/>
      <c r="AJ60" s="730"/>
      <c r="AK60" s="1252"/>
      <c r="AL60" s="1232"/>
      <c r="AM60" s="1233"/>
      <c r="AN60" s="1233"/>
      <c r="AO60" s="1233"/>
      <c r="AP60" s="1233"/>
      <c r="AQ60" s="1233"/>
      <c r="AR60" s="1233"/>
      <c r="AS60" s="1233"/>
      <c r="AT60" s="1233"/>
      <c r="AU60" s="1233"/>
      <c r="AV60" s="1233"/>
      <c r="AW60" s="1233"/>
      <c r="AX60" s="1233"/>
      <c r="AY60" s="1233"/>
      <c r="AZ60" s="1233"/>
      <c r="BA60" s="1233"/>
      <c r="BB60" s="1233"/>
      <c r="BC60" s="1233"/>
      <c r="BD60" s="1233"/>
      <c r="BE60" s="1233"/>
      <c r="BF60" s="1233"/>
      <c r="BG60" s="1233"/>
      <c r="BH60" s="1233"/>
      <c r="BI60" s="1234"/>
      <c r="BJ60" s="1252"/>
      <c r="BK60" s="1252"/>
      <c r="BL60" s="937"/>
    </row>
    <row r="61" spans="1:78" ht="19.5" customHeight="1">
      <c r="A61" s="936"/>
      <c r="B61" s="721" t="s">
        <v>12</v>
      </c>
      <c r="C61" s="721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21" t="s">
        <v>13</v>
      </c>
      <c r="X61" s="721"/>
      <c r="Y61" s="721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4"/>
      <c r="AK61" s="1252"/>
      <c r="AL61" s="1232"/>
      <c r="AM61" s="1233"/>
      <c r="AN61" s="1233"/>
      <c r="AO61" s="1233"/>
      <c r="AP61" s="1233"/>
      <c r="AQ61" s="1233"/>
      <c r="AR61" s="1233"/>
      <c r="AS61" s="1233"/>
      <c r="AT61" s="1233"/>
      <c r="AU61" s="1233"/>
      <c r="AV61" s="1233"/>
      <c r="AW61" s="1233"/>
      <c r="AX61" s="1233"/>
      <c r="AY61" s="1233"/>
      <c r="AZ61" s="1233"/>
      <c r="BA61" s="1233"/>
      <c r="BB61" s="1233"/>
      <c r="BC61" s="1233"/>
      <c r="BD61" s="1233"/>
      <c r="BE61" s="1233"/>
      <c r="BF61" s="1233"/>
      <c r="BG61" s="1233"/>
      <c r="BH61" s="1233"/>
      <c r="BI61" s="1234"/>
      <c r="BJ61" s="1252"/>
      <c r="BK61" s="1252"/>
      <c r="BL61" s="937"/>
      <c r="BN61" s="688"/>
      <c r="BO61" s="688"/>
      <c r="BS61" s="730"/>
      <c r="BT61" s="718"/>
      <c r="BZ61" s="718"/>
    </row>
    <row r="62" spans="1:78" s="733" customFormat="1" ht="19.5" customHeight="1">
      <c r="A62" s="936"/>
      <c r="B62" s="735" t="str">
        <f>'INGRESO DE DATOS'!G6</f>
        <v>#</v>
      </c>
      <c r="C62" s="735"/>
      <c r="W62" s="735" t="str">
        <f>'INGRESO DE DATOS'!$G$16</f>
        <v>#</v>
      </c>
      <c r="X62" s="735"/>
      <c r="Y62" s="735"/>
      <c r="AJ62" s="734"/>
      <c r="AK62" s="1252"/>
      <c r="AL62" s="1232"/>
      <c r="AM62" s="1233"/>
      <c r="AN62" s="1233"/>
      <c r="AO62" s="1233"/>
      <c r="AP62" s="1233"/>
      <c r="AQ62" s="1233"/>
      <c r="AR62" s="1233"/>
      <c r="AS62" s="1233"/>
      <c r="AT62" s="1233"/>
      <c r="AU62" s="1233"/>
      <c r="AV62" s="1233"/>
      <c r="AW62" s="1233"/>
      <c r="AX62" s="1233"/>
      <c r="AY62" s="1233"/>
      <c r="AZ62" s="1233"/>
      <c r="BA62" s="1233"/>
      <c r="BB62" s="1233"/>
      <c r="BC62" s="1233"/>
      <c r="BD62" s="1233"/>
      <c r="BE62" s="1233"/>
      <c r="BF62" s="1233"/>
      <c r="BG62" s="1233"/>
      <c r="BH62" s="1233"/>
      <c r="BI62" s="1234"/>
      <c r="BJ62" s="1252"/>
      <c r="BK62" s="1252"/>
      <c r="BL62" s="937"/>
      <c r="BS62" s="734"/>
      <c r="BT62" s="727"/>
      <c r="BZ62" s="727"/>
    </row>
    <row r="63" spans="1:78" s="733" customFormat="1" ht="19.5" customHeight="1">
      <c r="A63" s="936"/>
      <c r="B63" s="735" t="str">
        <f>'INGRESO DE DATOS'!$G$8</f>
        <v>#</v>
      </c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W63" s="735" t="str">
        <f>'INGRESO DE DATOS'!$G$21</f>
        <v>#</v>
      </c>
      <c r="X63" s="735"/>
      <c r="Y63" s="735"/>
      <c r="AJ63" s="734"/>
      <c r="AK63" s="1252"/>
      <c r="AL63" s="1232"/>
      <c r="AM63" s="1233"/>
      <c r="AN63" s="1233"/>
      <c r="AO63" s="1233"/>
      <c r="AP63" s="1233"/>
      <c r="AQ63" s="1233"/>
      <c r="AR63" s="1233"/>
      <c r="AS63" s="1233"/>
      <c r="AT63" s="1233"/>
      <c r="AU63" s="1233"/>
      <c r="AV63" s="1233"/>
      <c r="AW63" s="1233"/>
      <c r="AX63" s="1233"/>
      <c r="AY63" s="1233"/>
      <c r="AZ63" s="1233"/>
      <c r="BA63" s="1233"/>
      <c r="BB63" s="1233"/>
      <c r="BC63" s="1233"/>
      <c r="BD63" s="1233"/>
      <c r="BE63" s="1233"/>
      <c r="BF63" s="1233"/>
      <c r="BG63" s="1233"/>
      <c r="BH63" s="1233"/>
      <c r="BI63" s="1234"/>
      <c r="BJ63" s="1252"/>
      <c r="BK63" s="1252"/>
      <c r="BL63" s="937"/>
      <c r="BS63" s="734"/>
      <c r="BT63" s="727"/>
      <c r="BZ63" s="727"/>
    </row>
    <row r="64" spans="1:90" s="733" customFormat="1" ht="19.5" customHeight="1">
      <c r="A64" s="936"/>
      <c r="B64" s="735" t="str">
        <f>'INGRESO DE DATOS'!$G$9</f>
        <v>#</v>
      </c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W64" s="721" t="s">
        <v>886</v>
      </c>
      <c r="X64" s="735"/>
      <c r="Y64" s="1286" t="str">
        <f>'INGRESO DE DATOS'!$G$19</f>
        <v>#</v>
      </c>
      <c r="Z64" s="1286"/>
      <c r="AA64" s="1286"/>
      <c r="AB64" s="1286"/>
      <c r="AC64" s="1286"/>
      <c r="AD64" s="1286"/>
      <c r="AJ64" s="734"/>
      <c r="AK64" s="1252"/>
      <c r="AL64" s="1232"/>
      <c r="AM64" s="1233"/>
      <c r="AN64" s="1233"/>
      <c r="AO64" s="1233"/>
      <c r="AP64" s="1233"/>
      <c r="AQ64" s="1233"/>
      <c r="AR64" s="1233"/>
      <c r="AS64" s="1233"/>
      <c r="AT64" s="1233"/>
      <c r="AU64" s="1233"/>
      <c r="AV64" s="1233"/>
      <c r="AW64" s="1233"/>
      <c r="AX64" s="1233"/>
      <c r="AY64" s="1233"/>
      <c r="AZ64" s="1233"/>
      <c r="BA64" s="1233"/>
      <c r="BB64" s="1233"/>
      <c r="BC64" s="1233"/>
      <c r="BD64" s="1233"/>
      <c r="BE64" s="1233"/>
      <c r="BF64" s="1233"/>
      <c r="BG64" s="1233"/>
      <c r="BH64" s="1233"/>
      <c r="BI64" s="1234"/>
      <c r="BJ64" s="1252"/>
      <c r="BK64" s="1252"/>
      <c r="BL64" s="937"/>
      <c r="BS64" s="734"/>
      <c r="BT64" s="727"/>
      <c r="BZ64" s="727"/>
      <c r="CE64" s="734"/>
      <c r="CF64" s="734"/>
      <c r="CG64" s="734"/>
      <c r="CH64" s="734"/>
      <c r="CI64" s="734"/>
      <c r="CJ64" s="734"/>
      <c r="CK64" s="734"/>
      <c r="CL64" s="734"/>
    </row>
    <row r="65" spans="1:90" s="733" customFormat="1" ht="19.5" customHeight="1">
      <c r="A65" s="936"/>
      <c r="B65" s="1290" t="str">
        <f>'INGRESO DE DATOS'!G7</f>
        <v>#</v>
      </c>
      <c r="C65" s="1290"/>
      <c r="D65" s="1290"/>
      <c r="E65" s="1290"/>
      <c r="F65" s="1290"/>
      <c r="G65" s="1290"/>
      <c r="H65" s="1290"/>
      <c r="I65" s="1290"/>
      <c r="W65" s="735" t="str">
        <f>'INGRESO DE DATOS'!$G$18</f>
        <v>#</v>
      </c>
      <c r="AJ65" s="734"/>
      <c r="AK65" s="1252"/>
      <c r="AL65" s="1232"/>
      <c r="AM65" s="1233"/>
      <c r="AN65" s="1233"/>
      <c r="AO65" s="1233"/>
      <c r="AP65" s="1233"/>
      <c r="AQ65" s="1233"/>
      <c r="AR65" s="1233"/>
      <c r="AS65" s="1233"/>
      <c r="AT65" s="1233"/>
      <c r="AU65" s="1233"/>
      <c r="AV65" s="1233"/>
      <c r="AW65" s="1233"/>
      <c r="AX65" s="1233"/>
      <c r="AY65" s="1233"/>
      <c r="AZ65" s="1233"/>
      <c r="BA65" s="1233"/>
      <c r="BB65" s="1233"/>
      <c r="BC65" s="1233"/>
      <c r="BD65" s="1233"/>
      <c r="BE65" s="1233"/>
      <c r="BF65" s="1233"/>
      <c r="BG65" s="1233"/>
      <c r="BH65" s="1233"/>
      <c r="BI65" s="1234"/>
      <c r="BJ65" s="1252"/>
      <c r="BK65" s="1252"/>
      <c r="BL65" s="937"/>
      <c r="BN65" s="735"/>
      <c r="BO65" s="735"/>
      <c r="BP65" s="727"/>
      <c r="BQ65" s="727"/>
      <c r="BR65" s="727"/>
      <c r="BS65" s="727"/>
      <c r="BT65" s="727"/>
      <c r="BZ65" s="727"/>
      <c r="CE65" s="734"/>
      <c r="CF65" s="734"/>
      <c r="CG65" s="734"/>
      <c r="CH65" s="734"/>
      <c r="CI65" s="734"/>
      <c r="CJ65" s="734"/>
      <c r="CK65" s="734"/>
      <c r="CL65" s="734"/>
    </row>
    <row r="66" spans="1:90" s="733" customFormat="1" ht="19.5" customHeight="1">
      <c r="A66" s="936"/>
      <c r="B66" s="736"/>
      <c r="C66" s="736"/>
      <c r="K66" s="1279"/>
      <c r="L66" s="1279"/>
      <c r="N66" s="804"/>
      <c r="O66" s="804"/>
      <c r="P66" s="804"/>
      <c r="Q66" s="804"/>
      <c r="R66" s="804"/>
      <c r="S66" s="804"/>
      <c r="T66" s="804"/>
      <c r="U66" s="804"/>
      <c r="V66" s="804"/>
      <c r="W66" s="721" t="s">
        <v>460</v>
      </c>
      <c r="X66" s="804"/>
      <c r="Y66" s="1304" t="str">
        <f>'INGRESO DE DATOS'!$G$17</f>
        <v>#</v>
      </c>
      <c r="Z66" s="1304"/>
      <c r="AA66" s="1304"/>
      <c r="AB66" s="1304"/>
      <c r="AC66" s="1304"/>
      <c r="AD66" s="1304"/>
      <c r="AE66" s="735"/>
      <c r="AJ66" s="734"/>
      <c r="AK66" s="1252"/>
      <c r="AL66" s="1232"/>
      <c r="AM66" s="1233"/>
      <c r="AN66" s="1233"/>
      <c r="AO66" s="1233"/>
      <c r="AP66" s="1233"/>
      <c r="AQ66" s="1233"/>
      <c r="AR66" s="1233"/>
      <c r="AS66" s="1233"/>
      <c r="AT66" s="1233"/>
      <c r="AU66" s="1233"/>
      <c r="AV66" s="1233"/>
      <c r="AW66" s="1233"/>
      <c r="AX66" s="1233"/>
      <c r="AY66" s="1233"/>
      <c r="AZ66" s="1233"/>
      <c r="BA66" s="1233"/>
      <c r="BB66" s="1233"/>
      <c r="BC66" s="1233"/>
      <c r="BD66" s="1233"/>
      <c r="BE66" s="1233"/>
      <c r="BF66" s="1233"/>
      <c r="BG66" s="1233"/>
      <c r="BH66" s="1233"/>
      <c r="BI66" s="1234"/>
      <c r="BJ66" s="1252"/>
      <c r="BK66" s="1252"/>
      <c r="BL66" s="937"/>
      <c r="BM66" s="733" t="s">
        <v>8</v>
      </c>
      <c r="BN66" s="735"/>
      <c r="BO66" s="735"/>
      <c r="BP66" s="727"/>
      <c r="BQ66" s="727"/>
      <c r="BR66" s="727"/>
      <c r="BS66" s="727"/>
      <c r="BT66" s="727"/>
      <c r="BU66" s="727"/>
      <c r="BV66" s="727"/>
      <c r="BW66" s="727"/>
      <c r="BX66" s="727"/>
      <c r="BY66" s="727"/>
      <c r="BZ66" s="727"/>
      <c r="CE66" s="734"/>
      <c r="CF66" s="734"/>
      <c r="CG66" s="734"/>
      <c r="CH66" s="734"/>
      <c r="CI66" s="734"/>
      <c r="CJ66" s="734"/>
      <c r="CK66" s="734"/>
      <c r="CL66" s="734"/>
    </row>
    <row r="67" spans="1:90" s="733" customFormat="1" ht="20.25" customHeight="1" thickBot="1">
      <c r="A67" s="936"/>
      <c r="B67" s="687"/>
      <c r="C67" s="687"/>
      <c r="D67" s="687"/>
      <c r="E67" s="687"/>
      <c r="F67" s="687"/>
      <c r="G67" s="687"/>
      <c r="H67" s="687"/>
      <c r="I67" s="687"/>
      <c r="J67" s="687"/>
      <c r="K67" s="687"/>
      <c r="L67" s="687"/>
      <c r="M67" s="687"/>
      <c r="N67" s="687"/>
      <c r="O67" s="687"/>
      <c r="P67" s="687"/>
      <c r="Q67" s="687"/>
      <c r="R67" s="687"/>
      <c r="S67" s="687"/>
      <c r="T67" s="687"/>
      <c r="U67" s="687"/>
      <c r="V67" s="687"/>
      <c r="W67" s="687"/>
      <c r="X67" s="687"/>
      <c r="Y67" s="687"/>
      <c r="Z67" s="687"/>
      <c r="AA67" s="687"/>
      <c r="AB67" s="687"/>
      <c r="AC67" s="687"/>
      <c r="AD67" s="687"/>
      <c r="AE67" s="687"/>
      <c r="AF67" s="687"/>
      <c r="AG67" s="687"/>
      <c r="AH67" s="687"/>
      <c r="AI67" s="687"/>
      <c r="AJ67" s="730"/>
      <c r="AK67" s="730"/>
      <c r="AL67" s="1235"/>
      <c r="AM67" s="1236"/>
      <c r="AN67" s="1236"/>
      <c r="AO67" s="1236"/>
      <c r="AP67" s="1236"/>
      <c r="AQ67" s="1236"/>
      <c r="AR67" s="1236"/>
      <c r="AS67" s="1236"/>
      <c r="AT67" s="1236"/>
      <c r="AU67" s="1236"/>
      <c r="AV67" s="1236"/>
      <c r="AW67" s="1236"/>
      <c r="AX67" s="1236"/>
      <c r="AY67" s="1236"/>
      <c r="AZ67" s="1236"/>
      <c r="BA67" s="1236"/>
      <c r="BB67" s="1236"/>
      <c r="BC67" s="1236"/>
      <c r="BD67" s="1236"/>
      <c r="BE67" s="1236"/>
      <c r="BF67" s="1236"/>
      <c r="BG67" s="1236"/>
      <c r="BH67" s="1236"/>
      <c r="BI67" s="1237"/>
      <c r="BJ67" s="1252"/>
      <c r="BK67" s="1252"/>
      <c r="BL67" s="937"/>
      <c r="BZ67" s="727"/>
      <c r="CE67" s="734"/>
      <c r="CF67" s="734"/>
      <c r="CG67" s="734"/>
      <c r="CH67" s="734"/>
      <c r="CI67" s="734"/>
      <c r="CJ67" s="734"/>
      <c r="CK67" s="734"/>
      <c r="CL67" s="734"/>
    </row>
    <row r="68" spans="1:90" ht="19.5" customHeight="1">
      <c r="A68" s="936"/>
      <c r="AJ68" s="730"/>
      <c r="AK68" s="730"/>
      <c r="AL68" s="1280"/>
      <c r="AM68" s="1280"/>
      <c r="AN68" s="1280"/>
      <c r="AO68" s="1280"/>
      <c r="AP68" s="1280"/>
      <c r="AQ68" s="1280"/>
      <c r="AR68" s="1280"/>
      <c r="AS68" s="1280"/>
      <c r="AT68" s="1280"/>
      <c r="AU68" s="1280"/>
      <c r="AV68" s="1280"/>
      <c r="AW68" s="1280"/>
      <c r="AX68" s="1280"/>
      <c r="AY68" s="1280"/>
      <c r="AZ68" s="1280"/>
      <c r="BA68" s="1280"/>
      <c r="BB68" s="1280"/>
      <c r="BC68" s="1280"/>
      <c r="BD68" s="1280"/>
      <c r="BE68" s="1280"/>
      <c r="BF68" s="1280"/>
      <c r="BG68" s="1280"/>
      <c r="BH68" s="1280"/>
      <c r="BI68" s="1280"/>
      <c r="BJ68" s="1280"/>
      <c r="BK68" s="1280"/>
      <c r="BL68" s="937"/>
      <c r="BZ68" s="718"/>
      <c r="CD68" s="730"/>
      <c r="CE68" s="730"/>
      <c r="CF68" s="730"/>
      <c r="CG68" s="730"/>
      <c r="CH68" s="730"/>
      <c r="CI68" s="730"/>
      <c r="CJ68" s="730"/>
      <c r="CK68" s="730"/>
      <c r="CL68" s="730"/>
    </row>
    <row r="69" spans="1:64" ht="10.5" customHeight="1">
      <c r="A69" s="936"/>
      <c r="B69" s="1219"/>
      <c r="C69" s="1219"/>
      <c r="D69" s="1219"/>
      <c r="E69" s="1219"/>
      <c r="F69" s="1219"/>
      <c r="G69" s="1219"/>
      <c r="H69" s="1219"/>
      <c r="I69" s="1219"/>
      <c r="J69" s="1219"/>
      <c r="K69" s="1219"/>
      <c r="L69" s="1219"/>
      <c r="M69" s="1219"/>
      <c r="N69" s="1219"/>
      <c r="O69" s="1219"/>
      <c r="P69" s="1219"/>
      <c r="Q69" s="1219"/>
      <c r="R69" s="1219"/>
      <c r="S69" s="1219"/>
      <c r="T69" s="1219"/>
      <c r="U69" s="1219"/>
      <c r="V69" s="1219"/>
      <c r="W69" s="1219"/>
      <c r="X69" s="1219"/>
      <c r="Y69" s="1219"/>
      <c r="Z69" s="1219"/>
      <c r="AA69" s="1219"/>
      <c r="AB69" s="1219"/>
      <c r="AC69" s="1219"/>
      <c r="AD69" s="1219"/>
      <c r="AE69" s="1219"/>
      <c r="AF69" s="1219"/>
      <c r="AG69" s="1219"/>
      <c r="AH69" s="1219"/>
      <c r="AI69" s="1219"/>
      <c r="AJ69" s="1219"/>
      <c r="AK69" s="1219"/>
      <c r="AL69" s="1219"/>
      <c r="AM69" s="1219"/>
      <c r="AN69" s="1219"/>
      <c r="AO69" s="1219"/>
      <c r="AP69" s="1219"/>
      <c r="AQ69" s="1219"/>
      <c r="AR69" s="1219"/>
      <c r="AS69" s="1219"/>
      <c r="AT69" s="1219"/>
      <c r="AU69" s="1219"/>
      <c r="AV69" s="1219"/>
      <c r="AW69" s="1219"/>
      <c r="AX69" s="1219"/>
      <c r="AY69" s="1219"/>
      <c r="AZ69" s="1219"/>
      <c r="BA69" s="1219"/>
      <c r="BB69" s="1219"/>
      <c r="BC69" s="1219"/>
      <c r="BD69" s="1219"/>
      <c r="BE69" s="1219"/>
      <c r="BF69" s="1219"/>
      <c r="BG69" s="1219"/>
      <c r="BH69" s="1219"/>
      <c r="BI69" s="1219"/>
      <c r="BJ69" s="1219"/>
      <c r="BK69" s="1219"/>
      <c r="BL69" s="937"/>
    </row>
    <row r="70" spans="36:61" ht="4.5" customHeight="1">
      <c r="AJ70" s="730"/>
      <c r="AK70" s="730"/>
      <c r="AL70" s="730"/>
      <c r="AM70" s="730"/>
      <c r="AN70" s="730"/>
      <c r="AO70" s="730"/>
      <c r="AP70" s="374"/>
      <c r="AQ70" s="730"/>
      <c r="AR70" s="730"/>
      <c r="AS70" s="730"/>
      <c r="AT70" s="730"/>
      <c r="AU70" s="730"/>
      <c r="AV70" s="730"/>
      <c r="AW70" s="730"/>
      <c r="AX70" s="730"/>
      <c r="AY70" s="730"/>
      <c r="AZ70" s="730"/>
      <c r="BA70" s="730"/>
      <c r="BB70" s="730"/>
      <c r="BC70" s="730"/>
      <c r="BD70" s="730"/>
      <c r="BE70" s="730"/>
      <c r="BF70" s="730"/>
      <c r="BG70" s="730"/>
      <c r="BH70" s="730"/>
      <c r="BI70" s="730"/>
    </row>
    <row r="71" spans="36:61" ht="12.75">
      <c r="AJ71" s="730"/>
      <c r="AK71" s="730"/>
      <c r="AL71" s="730"/>
      <c r="AM71" s="730"/>
      <c r="AN71" s="730"/>
      <c r="AO71" s="730"/>
      <c r="AP71" s="730"/>
      <c r="AQ71" s="730"/>
      <c r="AR71" s="730"/>
      <c r="AS71" s="730"/>
      <c r="AT71" s="730"/>
      <c r="AU71" s="730"/>
      <c r="AV71" s="730"/>
      <c r="AW71" s="730"/>
      <c r="AX71" s="730"/>
      <c r="AY71" s="730"/>
      <c r="AZ71" s="730"/>
      <c r="BA71" s="730"/>
      <c r="BB71" s="730"/>
      <c r="BC71" s="730"/>
      <c r="BD71" s="730"/>
      <c r="BE71" s="730"/>
      <c r="BF71" s="730"/>
      <c r="BG71" s="730"/>
      <c r="BH71" s="730"/>
      <c r="BI71" s="730"/>
    </row>
    <row r="72" spans="36:61" ht="12.75">
      <c r="AJ72" s="730"/>
      <c r="AK72" s="730"/>
      <c r="AL72" s="730"/>
      <c r="AM72" s="730"/>
      <c r="AN72" s="730"/>
      <c r="AO72" s="730"/>
      <c r="AP72" s="730"/>
      <c r="AQ72" s="730"/>
      <c r="AR72" s="730"/>
      <c r="AS72" s="730"/>
      <c r="AT72" s="730"/>
      <c r="AU72" s="730"/>
      <c r="AV72" s="730"/>
      <c r="AW72" s="730"/>
      <c r="AX72" s="730"/>
      <c r="AY72" s="730"/>
      <c r="AZ72" s="730"/>
      <c r="BA72" s="730"/>
      <c r="BB72" s="730"/>
      <c r="BC72" s="730"/>
      <c r="BD72" s="730"/>
      <c r="BE72" s="730"/>
      <c r="BF72" s="730"/>
      <c r="BG72" s="730"/>
      <c r="BH72" s="730"/>
      <c r="BI72" s="730"/>
    </row>
    <row r="73" spans="36:61" ht="12.75">
      <c r="AJ73" s="730"/>
      <c r="AK73" s="730"/>
      <c r="AL73" s="730"/>
      <c r="AM73" s="730"/>
      <c r="AN73" s="730"/>
      <c r="AO73" s="730"/>
      <c r="AP73" s="730"/>
      <c r="AQ73" s="730"/>
      <c r="AR73" s="730"/>
      <c r="AS73" s="730"/>
      <c r="AT73" s="730"/>
      <c r="AU73" s="730"/>
      <c r="AV73" s="730"/>
      <c r="AW73" s="730"/>
      <c r="AX73" s="730"/>
      <c r="AY73" s="730"/>
      <c r="AZ73" s="730"/>
      <c r="BA73" s="730"/>
      <c r="BB73" s="730"/>
      <c r="BC73" s="730"/>
      <c r="BD73" s="730"/>
      <c r="BE73" s="730"/>
      <c r="BF73" s="730"/>
      <c r="BG73" s="730"/>
      <c r="BH73" s="730"/>
      <c r="BI73" s="730"/>
    </row>
    <row r="74" spans="38:61" ht="12.75">
      <c r="AL74" s="730"/>
      <c r="AM74" s="730"/>
      <c r="AN74" s="730"/>
      <c r="AO74" s="730"/>
      <c r="AP74" s="730"/>
      <c r="AQ74" s="730"/>
      <c r="AR74" s="730"/>
      <c r="AS74" s="730"/>
      <c r="AT74" s="730"/>
      <c r="AU74" s="730"/>
      <c r="AV74" s="730"/>
      <c r="AW74" s="730"/>
      <c r="AX74" s="730"/>
      <c r="AY74" s="730"/>
      <c r="AZ74" s="730"/>
      <c r="BA74" s="730"/>
      <c r="BB74" s="730"/>
      <c r="BC74" s="730"/>
      <c r="BD74" s="730"/>
      <c r="BE74" s="730"/>
      <c r="BF74" s="730"/>
      <c r="BG74" s="730"/>
      <c r="BH74" s="730"/>
      <c r="BI74" s="730"/>
    </row>
    <row r="75" spans="38:61" ht="12.75">
      <c r="AL75" s="730"/>
      <c r="AM75" s="730"/>
      <c r="AN75" s="730"/>
      <c r="AO75" s="730"/>
      <c r="AP75" s="730"/>
      <c r="AQ75" s="730"/>
      <c r="AR75" s="730"/>
      <c r="AS75" s="730"/>
      <c r="AT75" s="730"/>
      <c r="AU75" s="730"/>
      <c r="AV75" s="730"/>
      <c r="AW75" s="730"/>
      <c r="AX75" s="730"/>
      <c r="AY75" s="730"/>
      <c r="AZ75" s="730"/>
      <c r="BA75" s="730"/>
      <c r="BB75" s="730"/>
      <c r="BC75" s="730"/>
      <c r="BD75" s="730"/>
      <c r="BE75" s="730"/>
      <c r="BF75" s="730"/>
      <c r="BG75" s="730"/>
      <c r="BH75" s="730"/>
      <c r="BI75" s="730"/>
    </row>
    <row r="76" spans="38:61" ht="12.75">
      <c r="AL76" s="730"/>
      <c r="AM76" s="730"/>
      <c r="AN76" s="730"/>
      <c r="AO76" s="730"/>
      <c r="AP76" s="730"/>
      <c r="AQ76" s="730"/>
      <c r="AR76" s="730"/>
      <c r="AS76" s="730"/>
      <c r="AT76" s="730"/>
      <c r="AU76" s="730"/>
      <c r="AV76" s="730"/>
      <c r="AW76" s="730"/>
      <c r="AX76" s="730"/>
      <c r="AY76" s="730"/>
      <c r="AZ76" s="730"/>
      <c r="BA76" s="730"/>
      <c r="BB76" s="730"/>
      <c r="BC76" s="730"/>
      <c r="BD76" s="730"/>
      <c r="BE76" s="730"/>
      <c r="BF76" s="730"/>
      <c r="BG76" s="730"/>
      <c r="BH76" s="730"/>
      <c r="BI76" s="730"/>
    </row>
    <row r="77" spans="38:61" ht="12.75">
      <c r="AL77" s="730"/>
      <c r="AM77" s="730"/>
      <c r="AN77" s="730"/>
      <c r="AO77" s="730"/>
      <c r="AP77" s="730"/>
      <c r="AQ77" s="730"/>
      <c r="AR77" s="730"/>
      <c r="AS77" s="730"/>
      <c r="AT77" s="730"/>
      <c r="AU77" s="730"/>
      <c r="AV77" s="730"/>
      <c r="AW77" s="730"/>
      <c r="AX77" s="730"/>
      <c r="AY77" s="730"/>
      <c r="AZ77" s="730"/>
      <c r="BA77" s="730"/>
      <c r="BB77" s="730"/>
      <c r="BC77" s="730"/>
      <c r="BD77" s="730"/>
      <c r="BE77" s="730"/>
      <c r="BF77" s="730"/>
      <c r="BG77" s="730"/>
      <c r="BH77" s="730"/>
      <c r="BI77" s="730"/>
    </row>
    <row r="78" spans="38:61" ht="12.75">
      <c r="AL78" s="730"/>
      <c r="AM78" s="730"/>
      <c r="AN78" s="730"/>
      <c r="AO78" s="730"/>
      <c r="AP78" s="730"/>
      <c r="AQ78" s="730"/>
      <c r="AR78" s="730"/>
      <c r="AS78" s="730"/>
      <c r="AT78" s="730"/>
      <c r="AU78" s="730"/>
      <c r="AV78" s="730"/>
      <c r="AW78" s="730"/>
      <c r="AX78" s="730"/>
      <c r="AY78" s="730"/>
      <c r="AZ78" s="730"/>
      <c r="BA78" s="730"/>
      <c r="BB78" s="730"/>
      <c r="BC78" s="730"/>
      <c r="BD78" s="730"/>
      <c r="BE78" s="730"/>
      <c r="BF78" s="730"/>
      <c r="BG78" s="730"/>
      <c r="BH78" s="730"/>
      <c r="BI78" s="730"/>
    </row>
    <row r="100" spans="63:64" ht="12.75">
      <c r="BK100" s="730"/>
      <c r="BL100" s="730"/>
    </row>
    <row r="101" spans="63:80" ht="12.75">
      <c r="BK101" s="730"/>
      <c r="BL101" s="730"/>
      <c r="BM101" s="730"/>
      <c r="BN101" s="730"/>
      <c r="BO101" s="730"/>
      <c r="BP101" s="730"/>
      <c r="BQ101" s="730"/>
      <c r="BR101" s="730"/>
      <c r="BS101" s="730"/>
      <c r="BT101" s="730"/>
      <c r="BU101" s="730"/>
      <c r="BV101" s="730"/>
      <c r="BW101" s="730"/>
      <c r="BX101" s="730"/>
      <c r="BY101" s="730"/>
      <c r="BZ101" s="730"/>
      <c r="CA101" s="730"/>
      <c r="CB101" s="730"/>
    </row>
    <row r="102" spans="63:80" ht="12.75">
      <c r="BK102" s="730"/>
      <c r="BL102" s="730"/>
      <c r="BM102" s="730"/>
      <c r="BN102" s="730"/>
      <c r="BO102" s="730"/>
      <c r="BP102" s="730"/>
      <c r="BQ102" s="730"/>
      <c r="BR102" s="730"/>
      <c r="BS102" s="730"/>
      <c r="BT102" s="730"/>
      <c r="BU102" s="730"/>
      <c r="BV102" s="730"/>
      <c r="BW102" s="730"/>
      <c r="BX102" s="730"/>
      <c r="BY102" s="730"/>
      <c r="BZ102" s="730"/>
      <c r="CA102" s="730"/>
      <c r="CB102" s="730"/>
    </row>
    <row r="103" spans="63:80" ht="12.75">
      <c r="BK103" s="730"/>
      <c r="BL103" s="730"/>
      <c r="BM103" s="730"/>
      <c r="BN103" s="730"/>
      <c r="BO103" s="730"/>
      <c r="BP103" s="730"/>
      <c r="BQ103" s="730"/>
      <c r="BR103" s="730"/>
      <c r="BS103" s="730"/>
      <c r="BT103" s="730"/>
      <c r="BU103" s="730"/>
      <c r="BV103" s="730"/>
      <c r="BW103" s="730"/>
      <c r="BX103" s="730"/>
      <c r="BY103" s="730"/>
      <c r="BZ103" s="730"/>
      <c r="CA103" s="730"/>
      <c r="CB103" s="730"/>
    </row>
    <row r="104" spans="63:80" ht="12.75">
      <c r="BK104" s="730"/>
      <c r="BL104" s="718"/>
      <c r="BM104" s="730"/>
      <c r="BN104" s="730"/>
      <c r="BO104" s="730"/>
      <c r="BP104" s="730"/>
      <c r="BQ104" s="730"/>
      <c r="BR104" s="730"/>
      <c r="BS104" s="730"/>
      <c r="BT104" s="730"/>
      <c r="BU104" s="730"/>
      <c r="BV104" s="730"/>
      <c r="BW104" s="730"/>
      <c r="BX104" s="730"/>
      <c r="BY104" s="730"/>
      <c r="BZ104" s="730"/>
      <c r="CA104" s="730"/>
      <c r="CB104" s="730"/>
    </row>
    <row r="105" spans="63:80" ht="12.75">
      <c r="BK105" s="730"/>
      <c r="BL105" s="718"/>
      <c r="BM105" s="718"/>
      <c r="BN105" s="730"/>
      <c r="BO105" s="730"/>
      <c r="BP105" s="730"/>
      <c r="BQ105" s="730"/>
      <c r="BR105" s="730"/>
      <c r="BS105" s="730"/>
      <c r="BT105" s="730"/>
      <c r="BU105" s="730"/>
      <c r="BV105" s="730"/>
      <c r="BW105" s="730"/>
      <c r="BX105" s="730"/>
      <c r="BY105" s="730"/>
      <c r="BZ105" s="730"/>
      <c r="CA105" s="730"/>
      <c r="CB105" s="730"/>
    </row>
    <row r="106" spans="63:80" ht="12.75" customHeight="1">
      <c r="BK106" s="730"/>
      <c r="BL106" s="737"/>
      <c r="BM106" s="718"/>
      <c r="BN106" s="730"/>
      <c r="BO106" s="730"/>
      <c r="BP106" s="730"/>
      <c r="BQ106" s="730"/>
      <c r="BR106" s="730"/>
      <c r="BS106" s="730"/>
      <c r="BT106" s="730"/>
      <c r="BU106" s="730"/>
      <c r="BV106" s="730"/>
      <c r="BW106" s="730"/>
      <c r="BX106" s="730"/>
      <c r="BY106" s="730"/>
      <c r="BZ106" s="730"/>
      <c r="CA106" s="730"/>
      <c r="CB106" s="730"/>
    </row>
    <row r="107" spans="63:80" ht="12.75">
      <c r="BK107" s="730"/>
      <c r="BL107" s="737"/>
      <c r="BM107" s="737"/>
      <c r="BN107" s="730"/>
      <c r="BO107" s="730"/>
      <c r="BP107" s="730"/>
      <c r="BQ107" s="730"/>
      <c r="BR107" s="730"/>
      <c r="BS107" s="730"/>
      <c r="BT107" s="730"/>
      <c r="BU107" s="730"/>
      <c r="BV107" s="730"/>
      <c r="BW107" s="730"/>
      <c r="BX107" s="730"/>
      <c r="BY107" s="730"/>
      <c r="BZ107" s="730"/>
      <c r="CA107" s="730"/>
      <c r="CB107" s="730"/>
    </row>
    <row r="108" spans="63:80" ht="12.75">
      <c r="BK108" s="730"/>
      <c r="BL108" s="718"/>
      <c r="BM108" s="737"/>
      <c r="BN108" s="730"/>
      <c r="BO108" s="730"/>
      <c r="BP108" s="730"/>
      <c r="BQ108" s="730"/>
      <c r="BR108" s="730"/>
      <c r="BS108" s="730"/>
      <c r="BT108" s="730"/>
      <c r="BU108" s="730"/>
      <c r="BV108" s="730"/>
      <c r="BW108" s="730"/>
      <c r="BX108" s="730"/>
      <c r="BY108" s="730"/>
      <c r="BZ108" s="730"/>
      <c r="CA108" s="730"/>
      <c r="CB108" s="730"/>
    </row>
    <row r="109" spans="63:80" ht="12" customHeight="1">
      <c r="BK109" s="730"/>
      <c r="BL109" s="738"/>
      <c r="BM109" s="718"/>
      <c r="BN109" s="730"/>
      <c r="BO109" s="730"/>
      <c r="BP109" s="730"/>
      <c r="BQ109" s="730"/>
      <c r="BR109" s="730"/>
      <c r="BS109" s="730"/>
      <c r="BT109" s="730"/>
      <c r="BU109" s="730"/>
      <c r="BV109" s="730"/>
      <c r="BW109" s="730"/>
      <c r="BX109" s="730"/>
      <c r="BY109" s="730"/>
      <c r="BZ109" s="730"/>
      <c r="CA109" s="730"/>
      <c r="CB109" s="730"/>
    </row>
    <row r="110" spans="63:80" ht="14.25" customHeight="1">
      <c r="BK110" s="730"/>
      <c r="BL110" s="738"/>
      <c r="BM110" s="739"/>
      <c r="BN110" s="740"/>
      <c r="BO110" s="740"/>
      <c r="BP110" s="741"/>
      <c r="BQ110" s="741"/>
      <c r="BR110" s="741"/>
      <c r="BS110" s="741"/>
      <c r="BT110" s="741"/>
      <c r="BU110" s="741"/>
      <c r="BV110" s="741"/>
      <c r="BW110" s="740"/>
      <c r="BX110" s="740"/>
      <c r="BY110" s="740"/>
      <c r="BZ110" s="718"/>
      <c r="CA110" s="730"/>
      <c r="CB110" s="730"/>
    </row>
    <row r="111" spans="63:80" ht="12" customHeight="1">
      <c r="BK111" s="730"/>
      <c r="BL111" s="744"/>
      <c r="BM111" s="739"/>
      <c r="BN111" s="740"/>
      <c r="BO111" s="740"/>
      <c r="BP111" s="730"/>
      <c r="BQ111" s="741"/>
      <c r="BR111" s="741"/>
      <c r="BS111" s="741"/>
      <c r="BT111" s="741"/>
      <c r="BU111" s="741"/>
      <c r="BV111" s="741"/>
      <c r="BW111" s="740"/>
      <c r="BX111" s="740"/>
      <c r="BY111" s="740"/>
      <c r="BZ111" s="740"/>
      <c r="CA111" s="730"/>
      <c r="CB111" s="730"/>
    </row>
    <row r="112" spans="63:80" ht="16.5" customHeight="1">
      <c r="BK112" s="730"/>
      <c r="BL112" s="741"/>
      <c r="BM112" s="744"/>
      <c r="BN112" s="742"/>
      <c r="BO112" s="742"/>
      <c r="BP112" s="743"/>
      <c r="BQ112" s="744"/>
      <c r="BR112" s="744"/>
      <c r="BS112" s="744"/>
      <c r="BT112" s="744"/>
      <c r="BU112" s="744"/>
      <c r="BV112" s="744"/>
      <c r="BW112" s="742"/>
      <c r="BX112" s="742"/>
      <c r="BY112" s="745"/>
      <c r="BZ112" s="740"/>
      <c r="CA112" s="730"/>
      <c r="CB112" s="730"/>
    </row>
    <row r="113" spans="63:80" ht="13.5" customHeight="1">
      <c r="BK113" s="730"/>
      <c r="BL113" s="741"/>
      <c r="BM113" s="741"/>
      <c r="BN113" s="740"/>
      <c r="BO113" s="740"/>
      <c r="BP113" s="741"/>
      <c r="BQ113" s="741"/>
      <c r="BR113" s="741"/>
      <c r="BS113" s="741"/>
      <c r="BT113" s="741"/>
      <c r="BU113" s="741"/>
      <c r="BV113" s="741"/>
      <c r="BW113" s="740"/>
      <c r="BX113" s="740"/>
      <c r="BY113" s="740"/>
      <c r="BZ113" s="745"/>
      <c r="CA113" s="730"/>
      <c r="CB113" s="730"/>
    </row>
    <row r="114" spans="63:80" ht="12.75">
      <c r="BK114" s="730"/>
      <c r="BL114" s="741"/>
      <c r="BM114" s="741"/>
      <c r="BN114" s="740"/>
      <c r="BO114" s="740"/>
      <c r="BP114" s="730"/>
      <c r="BQ114" s="741"/>
      <c r="BR114" s="741"/>
      <c r="BS114" s="741"/>
      <c r="BT114" s="741"/>
      <c r="BU114" s="741"/>
      <c r="BV114" s="741"/>
      <c r="BW114" s="740"/>
      <c r="BX114" s="740"/>
      <c r="BY114" s="740"/>
      <c r="BZ114" s="740"/>
      <c r="CA114" s="730"/>
      <c r="CB114" s="730"/>
    </row>
    <row r="115" spans="63:80" ht="12.75">
      <c r="BK115" s="730"/>
      <c r="BL115" s="737"/>
      <c r="BM115" s="741"/>
      <c r="BN115" s="740"/>
      <c r="BO115" s="740"/>
      <c r="BP115" s="741"/>
      <c r="BQ115" s="741"/>
      <c r="BR115" s="741"/>
      <c r="BS115" s="741"/>
      <c r="BT115" s="741"/>
      <c r="BU115" s="741"/>
      <c r="BV115" s="741"/>
      <c r="BW115" s="740"/>
      <c r="BX115" s="740"/>
      <c r="BY115" s="740"/>
      <c r="BZ115" s="740"/>
      <c r="CA115" s="730"/>
      <c r="CB115" s="730"/>
    </row>
    <row r="116" spans="63:80" ht="12.75">
      <c r="BK116" s="730"/>
      <c r="BL116" s="718"/>
      <c r="BM116" s="746"/>
      <c r="BN116" s="718"/>
      <c r="BO116" s="718"/>
      <c r="BP116" s="741"/>
      <c r="BQ116" s="718"/>
      <c r="BR116" s="718"/>
      <c r="BS116" s="718"/>
      <c r="BT116" s="718"/>
      <c r="BU116" s="737"/>
      <c r="BV116" s="737"/>
      <c r="BW116" s="737"/>
      <c r="BX116" s="737"/>
      <c r="BY116" s="747"/>
      <c r="BZ116" s="740"/>
      <c r="CA116" s="730"/>
      <c r="CB116" s="730"/>
    </row>
    <row r="117" spans="63:80" ht="12.75">
      <c r="BK117" s="730"/>
      <c r="BL117" s="718"/>
      <c r="BM117" s="718"/>
      <c r="BN117" s="718"/>
      <c r="BO117" s="718"/>
      <c r="BP117" s="718"/>
      <c r="BQ117" s="718"/>
      <c r="BR117" s="718"/>
      <c r="BS117" s="718"/>
      <c r="BT117" s="718"/>
      <c r="BU117" s="718"/>
      <c r="BV117" s="718"/>
      <c r="BW117" s="718"/>
      <c r="BX117" s="718"/>
      <c r="BY117" s="718"/>
      <c r="BZ117" s="747"/>
      <c r="CA117" s="730"/>
      <c r="CB117" s="730"/>
    </row>
    <row r="118" spans="63:80" ht="12.75">
      <c r="BK118" s="730"/>
      <c r="BL118" s="749"/>
      <c r="BM118" s="718"/>
      <c r="BN118" s="718"/>
      <c r="BO118" s="718"/>
      <c r="BP118" s="718"/>
      <c r="BQ118" s="748"/>
      <c r="BR118" s="748"/>
      <c r="BS118" s="748"/>
      <c r="BT118" s="748"/>
      <c r="BU118" s="718"/>
      <c r="BV118" s="718"/>
      <c r="BW118" s="718"/>
      <c r="BX118" s="718"/>
      <c r="BY118" s="718"/>
      <c r="BZ118" s="718"/>
      <c r="CA118" s="730"/>
      <c r="CB118" s="730"/>
    </row>
    <row r="119" spans="63:80" ht="12.75">
      <c r="BK119" s="730"/>
      <c r="BL119" s="749"/>
      <c r="BM119" s="727"/>
      <c r="BN119" s="727"/>
      <c r="BO119" s="727"/>
      <c r="BP119" s="718"/>
      <c r="BQ119" s="718"/>
      <c r="BR119" s="718"/>
      <c r="BS119" s="718"/>
      <c r="BT119" s="718"/>
      <c r="BU119" s="741"/>
      <c r="BV119" s="741"/>
      <c r="BW119" s="740"/>
      <c r="BX119" s="740"/>
      <c r="BY119" s="740"/>
      <c r="BZ119" s="718"/>
      <c r="CA119" s="730"/>
      <c r="CB119" s="730"/>
    </row>
    <row r="120" spans="63:80" ht="12.75">
      <c r="BK120" s="730"/>
      <c r="BL120" s="718"/>
      <c r="BM120" s="718"/>
      <c r="BN120" s="749"/>
      <c r="BO120" s="749"/>
      <c r="BP120" s="730"/>
      <c r="BQ120" s="718"/>
      <c r="BR120" s="718"/>
      <c r="BS120" s="718"/>
      <c r="BT120" s="718"/>
      <c r="BU120" s="741"/>
      <c r="BV120" s="741"/>
      <c r="BW120" s="740"/>
      <c r="BX120" s="740"/>
      <c r="BY120" s="749"/>
      <c r="BZ120" s="740"/>
      <c r="CA120" s="730"/>
      <c r="CB120" s="730"/>
    </row>
    <row r="121" spans="63:80" ht="12.75">
      <c r="BK121" s="730"/>
      <c r="BL121" s="718"/>
      <c r="BM121" s="718"/>
      <c r="BN121" s="737"/>
      <c r="BO121" s="737"/>
      <c r="BP121" s="750"/>
      <c r="BQ121" s="718"/>
      <c r="BR121" s="718"/>
      <c r="BS121" s="718"/>
      <c r="BT121" s="718"/>
      <c r="BU121" s="744"/>
      <c r="BV121" s="744"/>
      <c r="BW121" s="742"/>
      <c r="BX121" s="742"/>
      <c r="BY121" s="751"/>
      <c r="BZ121" s="749"/>
      <c r="CA121" s="730"/>
      <c r="CB121" s="730"/>
    </row>
    <row r="122" spans="63:80" ht="12.75">
      <c r="BK122" s="730"/>
      <c r="BL122" s="749"/>
      <c r="BM122" s="718"/>
      <c r="BN122" s="718"/>
      <c r="BO122" s="718"/>
      <c r="BP122" s="718"/>
      <c r="BQ122" s="718"/>
      <c r="BR122" s="718"/>
      <c r="BS122" s="718"/>
      <c r="BT122" s="718"/>
      <c r="BU122" s="718"/>
      <c r="BV122" s="718"/>
      <c r="BW122" s="718"/>
      <c r="BX122" s="718"/>
      <c r="BY122" s="718"/>
      <c r="BZ122" s="751"/>
      <c r="CA122" s="730"/>
      <c r="CB122" s="730"/>
    </row>
    <row r="123" spans="63:80" ht="12.75">
      <c r="BK123" s="730"/>
      <c r="BL123" s="718"/>
      <c r="BM123" s="749"/>
      <c r="BN123" s="749"/>
      <c r="BO123" s="749"/>
      <c r="BP123" s="718"/>
      <c r="BQ123" s="718"/>
      <c r="BR123" s="718"/>
      <c r="BS123" s="718"/>
      <c r="BT123" s="718"/>
      <c r="BU123" s="718"/>
      <c r="BV123" s="718"/>
      <c r="BW123" s="718"/>
      <c r="BX123" s="718"/>
      <c r="BY123" s="718"/>
      <c r="BZ123" s="718"/>
      <c r="CA123" s="730"/>
      <c r="CB123" s="730"/>
    </row>
    <row r="124" spans="63:80" ht="12.75">
      <c r="BK124" s="730"/>
      <c r="BL124" s="718"/>
      <c r="BM124" s="718"/>
      <c r="BN124" s="718"/>
      <c r="BO124" s="718"/>
      <c r="BP124" s="749"/>
      <c r="BQ124" s="718"/>
      <c r="BR124" s="718"/>
      <c r="BS124" s="718"/>
      <c r="BT124" s="718"/>
      <c r="BU124" s="718"/>
      <c r="BV124" s="718"/>
      <c r="BW124" s="718"/>
      <c r="BX124" s="718"/>
      <c r="BY124" s="718"/>
      <c r="BZ124" s="718"/>
      <c r="CA124" s="730"/>
      <c r="CB124" s="730"/>
    </row>
    <row r="125" spans="63:80" ht="12.75">
      <c r="BK125" s="730"/>
      <c r="BL125" s="718"/>
      <c r="BM125" s="718"/>
      <c r="BN125" s="718"/>
      <c r="BO125" s="718"/>
      <c r="BP125" s="718"/>
      <c r="BQ125" s="718"/>
      <c r="BR125" s="718"/>
      <c r="BS125" s="718"/>
      <c r="BT125" s="718"/>
      <c r="BU125" s="718"/>
      <c r="BV125" s="718"/>
      <c r="BW125" s="718"/>
      <c r="BX125" s="718"/>
      <c r="BY125" s="718"/>
      <c r="BZ125" s="718"/>
      <c r="CA125" s="730"/>
      <c r="CB125" s="730"/>
    </row>
    <row r="126" spans="63:80" ht="12.75">
      <c r="BK126" s="730"/>
      <c r="BL126" s="749"/>
      <c r="BM126" s="718"/>
      <c r="BN126" s="718"/>
      <c r="BO126" s="718"/>
      <c r="BP126" s="718"/>
      <c r="BQ126" s="718"/>
      <c r="BR126" s="718"/>
      <c r="BS126" s="718"/>
      <c r="BT126" s="718"/>
      <c r="BU126" s="718"/>
      <c r="BV126" s="718"/>
      <c r="BW126" s="718"/>
      <c r="BX126" s="718"/>
      <c r="BY126" s="718"/>
      <c r="BZ126" s="718"/>
      <c r="CA126" s="730"/>
      <c r="CB126" s="730"/>
    </row>
    <row r="127" spans="63:80" ht="12.75">
      <c r="BK127" s="730"/>
      <c r="BL127" s="718"/>
      <c r="BM127" s="749"/>
      <c r="BN127" s="749"/>
      <c r="BO127" s="749"/>
      <c r="BP127" s="749"/>
      <c r="BQ127" s="749"/>
      <c r="BR127" s="749"/>
      <c r="BS127" s="749"/>
      <c r="BT127" s="749"/>
      <c r="BU127" s="749"/>
      <c r="BV127" s="749"/>
      <c r="BW127" s="749"/>
      <c r="BX127" s="749"/>
      <c r="BY127" s="749"/>
      <c r="BZ127" s="718"/>
      <c r="CA127" s="730"/>
      <c r="CB127" s="730"/>
    </row>
    <row r="128" spans="63:80" ht="12.75">
      <c r="BK128" s="730"/>
      <c r="BL128" s="718"/>
      <c r="BM128" s="718"/>
      <c r="BN128" s="718"/>
      <c r="BO128" s="718"/>
      <c r="BP128" s="718"/>
      <c r="BQ128" s="718"/>
      <c r="BR128" s="718"/>
      <c r="BS128" s="718"/>
      <c r="BT128" s="718"/>
      <c r="BU128" s="718"/>
      <c r="BV128" s="718"/>
      <c r="BW128" s="718"/>
      <c r="BX128" s="718"/>
      <c r="BY128" s="749"/>
      <c r="BZ128" s="749"/>
      <c r="CA128" s="730"/>
      <c r="CB128" s="730"/>
    </row>
    <row r="129" spans="63:80" ht="12.75">
      <c r="BK129" s="730"/>
      <c r="BL129" s="718"/>
      <c r="BM129" s="718"/>
      <c r="BN129" s="718"/>
      <c r="BO129" s="718"/>
      <c r="BP129" s="718"/>
      <c r="BQ129" s="718"/>
      <c r="BR129" s="718"/>
      <c r="BS129" s="718"/>
      <c r="BT129" s="718"/>
      <c r="BU129" s="718"/>
      <c r="BV129" s="718"/>
      <c r="BW129" s="718"/>
      <c r="BX129" s="718"/>
      <c r="BY129" s="749"/>
      <c r="BZ129" s="749"/>
      <c r="CA129" s="730"/>
      <c r="CB129" s="730"/>
    </row>
    <row r="130" spans="63:80" ht="12.75">
      <c r="BK130" s="730"/>
      <c r="BL130" s="718"/>
      <c r="BM130" s="718"/>
      <c r="BN130" s="718"/>
      <c r="BO130" s="718"/>
      <c r="BP130" s="718"/>
      <c r="BQ130" s="718"/>
      <c r="BR130" s="718"/>
      <c r="BS130" s="718"/>
      <c r="BT130" s="718"/>
      <c r="BU130" s="718"/>
      <c r="BV130" s="718"/>
      <c r="BW130" s="718"/>
      <c r="BX130" s="718"/>
      <c r="BY130" s="749"/>
      <c r="BZ130" s="749"/>
      <c r="CA130" s="730"/>
      <c r="CB130" s="730"/>
    </row>
    <row r="131" spans="63:80" ht="12.75">
      <c r="BK131" s="730"/>
      <c r="BL131" s="718"/>
      <c r="BM131" s="718"/>
      <c r="BN131" s="718"/>
      <c r="BO131" s="718"/>
      <c r="BP131" s="718"/>
      <c r="BQ131" s="718"/>
      <c r="BR131" s="718"/>
      <c r="BS131" s="718"/>
      <c r="BT131" s="718"/>
      <c r="BU131" s="718"/>
      <c r="BV131" s="718"/>
      <c r="BW131" s="718"/>
      <c r="BX131" s="718"/>
      <c r="BY131" s="749"/>
      <c r="BZ131" s="749"/>
      <c r="CA131" s="730"/>
      <c r="CB131" s="730"/>
    </row>
    <row r="132" spans="63:80" ht="12.75">
      <c r="BK132" s="730"/>
      <c r="BL132" s="718"/>
      <c r="BM132" s="718"/>
      <c r="BN132" s="718"/>
      <c r="BO132" s="718"/>
      <c r="BP132" s="718"/>
      <c r="BQ132" s="718"/>
      <c r="BR132" s="718"/>
      <c r="BS132" s="718"/>
      <c r="BT132" s="718"/>
      <c r="BU132" s="718"/>
      <c r="BV132" s="718"/>
      <c r="BW132" s="718"/>
      <c r="BX132" s="718"/>
      <c r="BY132" s="749"/>
      <c r="BZ132" s="749"/>
      <c r="CA132" s="730"/>
      <c r="CB132" s="730"/>
    </row>
    <row r="133" spans="63:80" ht="12.75">
      <c r="BK133" s="730"/>
      <c r="BL133" s="730"/>
      <c r="BM133" s="718"/>
      <c r="BN133" s="718"/>
      <c r="BO133" s="718"/>
      <c r="BP133" s="718"/>
      <c r="BQ133" s="718"/>
      <c r="BR133" s="718"/>
      <c r="BS133" s="718"/>
      <c r="BT133" s="718"/>
      <c r="BU133" s="718"/>
      <c r="BV133" s="718"/>
      <c r="BW133" s="718"/>
      <c r="BX133" s="718"/>
      <c r="BY133" s="749"/>
      <c r="BZ133" s="749"/>
      <c r="CA133" s="730"/>
      <c r="CB133" s="730"/>
    </row>
    <row r="134" spans="63:80" ht="12.75">
      <c r="BK134" s="730"/>
      <c r="BL134" s="730"/>
      <c r="BM134" s="730"/>
      <c r="BN134" s="730"/>
      <c r="BO134" s="730"/>
      <c r="BP134" s="730"/>
      <c r="BQ134" s="730"/>
      <c r="BR134" s="730"/>
      <c r="BS134" s="730"/>
      <c r="BT134" s="730"/>
      <c r="BU134" s="730"/>
      <c r="BV134" s="730"/>
      <c r="BW134" s="730"/>
      <c r="BX134" s="730"/>
      <c r="BY134" s="730"/>
      <c r="BZ134" s="749"/>
      <c r="CA134" s="730"/>
      <c r="CB134" s="730"/>
    </row>
    <row r="135" spans="63:80" ht="12.75">
      <c r="BK135" s="730"/>
      <c r="BL135" s="730"/>
      <c r="BM135" s="730"/>
      <c r="BN135" s="730"/>
      <c r="BO135" s="730"/>
      <c r="BP135" s="730"/>
      <c r="BQ135" s="730"/>
      <c r="BR135" s="730"/>
      <c r="BS135" s="730"/>
      <c r="BT135" s="730"/>
      <c r="BU135" s="730"/>
      <c r="BV135" s="730"/>
      <c r="BW135" s="730"/>
      <c r="BX135" s="730"/>
      <c r="BY135" s="730"/>
      <c r="BZ135" s="730"/>
      <c r="CA135" s="730"/>
      <c r="CB135" s="730"/>
    </row>
    <row r="136" spans="63:80" ht="12.75">
      <c r="BK136" s="730"/>
      <c r="BL136" s="730"/>
      <c r="BM136" s="730"/>
      <c r="BN136" s="730"/>
      <c r="BO136" s="730"/>
      <c r="BP136" s="730"/>
      <c r="BQ136" s="730"/>
      <c r="BR136" s="730"/>
      <c r="BS136" s="730"/>
      <c r="BT136" s="730"/>
      <c r="BU136" s="730"/>
      <c r="BV136" s="730"/>
      <c r="BW136" s="730"/>
      <c r="BX136" s="730"/>
      <c r="BY136" s="730"/>
      <c r="BZ136" s="730"/>
      <c r="CA136" s="730"/>
      <c r="CB136" s="730"/>
    </row>
    <row r="137" spans="65:80" ht="12.75">
      <c r="BM137" s="730"/>
      <c r="BN137" s="730"/>
      <c r="BO137" s="730"/>
      <c r="BP137" s="730"/>
      <c r="BQ137" s="730"/>
      <c r="BR137" s="730"/>
      <c r="BS137" s="730"/>
      <c r="BT137" s="730"/>
      <c r="BU137" s="730"/>
      <c r="BV137" s="730"/>
      <c r="BW137" s="730"/>
      <c r="BX137" s="730"/>
      <c r="BY137" s="730"/>
      <c r="BZ137" s="730"/>
      <c r="CA137" s="730"/>
      <c r="CB137" s="730"/>
    </row>
  </sheetData>
  <sheetProtection password="CEAE" sheet="1" scenarios="1"/>
  <mergeCells count="117">
    <mergeCell ref="K48:BJ48"/>
    <mergeCell ref="K43:BF44"/>
    <mergeCell ref="AS16:AX16"/>
    <mergeCell ref="AS17:AX17"/>
    <mergeCell ref="AH17:AR17"/>
    <mergeCell ref="H16:M16"/>
    <mergeCell ref="H17:M17"/>
    <mergeCell ref="N16:S16"/>
    <mergeCell ref="N17:S17"/>
    <mergeCell ref="AJ12:BK12"/>
    <mergeCell ref="AB13:BK13"/>
    <mergeCell ref="G13:AA13"/>
    <mergeCell ref="B9:I9"/>
    <mergeCell ref="AJ11:AP11"/>
    <mergeCell ref="B11:S11"/>
    <mergeCell ref="J9:AA9"/>
    <mergeCell ref="N10:AP10"/>
    <mergeCell ref="B13:F13"/>
    <mergeCell ref="M14:AF14"/>
    <mergeCell ref="B16:G17"/>
    <mergeCell ref="BC7:BF7"/>
    <mergeCell ref="BJ7:BK7"/>
    <mergeCell ref="AF7:BB7"/>
    <mergeCell ref="BA8:BJ8"/>
    <mergeCell ref="B8:AW8"/>
    <mergeCell ref="AQ9:AT9"/>
    <mergeCell ref="AQ14:BJ14"/>
    <mergeCell ref="B15:E15"/>
    <mergeCell ref="B41:F50"/>
    <mergeCell ref="G43:J48"/>
    <mergeCell ref="K45:BJ45"/>
    <mergeCell ref="G42:BJ42"/>
    <mergeCell ref="G49:I49"/>
    <mergeCell ref="B65:I65"/>
    <mergeCell ref="AL52:AP54"/>
    <mergeCell ref="J49:BJ50"/>
    <mergeCell ref="K46:BJ46"/>
    <mergeCell ref="K47:BJ47"/>
    <mergeCell ref="K66:L66"/>
    <mergeCell ref="AL68:BK68"/>
    <mergeCell ref="BJ52:BK67"/>
    <mergeCell ref="AL55:BI55"/>
    <mergeCell ref="AK52:AK66"/>
    <mergeCell ref="B56:AJ57"/>
    <mergeCell ref="B52:AJ52"/>
    <mergeCell ref="Y64:AD64"/>
    <mergeCell ref="Y66:AD66"/>
    <mergeCell ref="G37:BJ37"/>
    <mergeCell ref="B38:F38"/>
    <mergeCell ref="BE16:BI16"/>
    <mergeCell ref="BE17:BI17"/>
    <mergeCell ref="AY16:BD16"/>
    <mergeCell ref="T16:Y16"/>
    <mergeCell ref="T17:Y17"/>
    <mergeCell ref="Z16:AG16"/>
    <mergeCell ref="Z17:AG17"/>
    <mergeCell ref="AY17:BD17"/>
    <mergeCell ref="K19:M19"/>
    <mergeCell ref="AT10:BA10"/>
    <mergeCell ref="AE11:AI11"/>
    <mergeCell ref="AH16:AR16"/>
    <mergeCell ref="AQ11:BJ11"/>
    <mergeCell ref="AQ10:AS10"/>
    <mergeCell ref="J12:AI12"/>
    <mergeCell ref="F15:AC15"/>
    <mergeCell ref="AG14:AJ14"/>
    <mergeCell ref="AK14:AP14"/>
    <mergeCell ref="G40:BJ40"/>
    <mergeCell ref="G41:BJ41"/>
    <mergeCell ref="B36:F36"/>
    <mergeCell ref="G36:BJ36"/>
    <mergeCell ref="AC9:AF9"/>
    <mergeCell ref="AG9:AP9"/>
    <mergeCell ref="N19:BK19"/>
    <mergeCell ref="B23:F23"/>
    <mergeCell ref="AV23:BJ23"/>
    <mergeCell ref="B26:F26"/>
    <mergeCell ref="AY32:BI32"/>
    <mergeCell ref="R33:V33"/>
    <mergeCell ref="AQ33:AW33"/>
    <mergeCell ref="AI33:AP33"/>
    <mergeCell ref="B20:F20"/>
    <mergeCell ref="B28:F28"/>
    <mergeCell ref="G24:S24"/>
    <mergeCell ref="U24:AO24"/>
    <mergeCell ref="B29:F29"/>
    <mergeCell ref="AC21:AI21"/>
    <mergeCell ref="B51:F51"/>
    <mergeCell ref="L33:Q33"/>
    <mergeCell ref="G51:BJ51"/>
    <mergeCell ref="G38:BJ39"/>
    <mergeCell ref="AB35:AQ35"/>
    <mergeCell ref="W33:AC33"/>
    <mergeCell ref="B34:F34"/>
    <mergeCell ref="BH33:BI33"/>
    <mergeCell ref="B33:K33"/>
    <mergeCell ref="AD33:AE33"/>
    <mergeCell ref="B40:F40"/>
    <mergeCell ref="B32:F32"/>
    <mergeCell ref="B19:J19"/>
    <mergeCell ref="B31:F31"/>
    <mergeCell ref="B21:F21"/>
    <mergeCell ref="Z31:BJ31"/>
    <mergeCell ref="B24:F25"/>
    <mergeCell ref="B22:F22"/>
    <mergeCell ref="AR32:AX32"/>
    <mergeCell ref="AF33:AH33"/>
    <mergeCell ref="B1:BK1"/>
    <mergeCell ref="B69:BK69"/>
    <mergeCell ref="AQ52:BI54"/>
    <mergeCell ref="AL56:BI67"/>
    <mergeCell ref="B53:AJ55"/>
    <mergeCell ref="B18:F18"/>
    <mergeCell ref="AX8:AZ8"/>
    <mergeCell ref="BG7:BI7"/>
    <mergeCell ref="H7:AB7"/>
    <mergeCell ref="AU9:BJ9"/>
  </mergeCells>
  <printOptions verticalCentered="1"/>
  <pageMargins left="0.8661417322834646" right="0.03937007874015748" top="0" bottom="0" header="0" footer="0"/>
  <pageSetup horizontalDpi="300" verticalDpi="300" orientation="portrait" paperSize="9" scale="58" r:id="rId2"/>
  <ignoredErrors>
    <ignoredError sqref="AC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Z126"/>
  <sheetViews>
    <sheetView zoomScale="70" zoomScaleNormal="70" zoomScalePageLayoutView="0" workbookViewId="0" topLeftCell="A1">
      <selection activeCell="P100" sqref="P100"/>
    </sheetView>
  </sheetViews>
  <sheetFormatPr defaultColWidth="11.421875" defaultRowHeight="12.75"/>
  <cols>
    <col min="1" max="1" width="1.8515625" style="0" customWidth="1"/>
    <col min="2" max="2" width="21.140625" style="0" customWidth="1"/>
    <col min="3" max="3" width="17.7109375" style="0" customWidth="1"/>
    <col min="4" max="4" width="25.28125" style="0" customWidth="1"/>
    <col min="5" max="6" width="19.8515625" style="0" customWidth="1"/>
    <col min="7" max="7" width="15.8515625" style="0" customWidth="1"/>
    <col min="8" max="8" width="14.8515625" style="0" customWidth="1"/>
    <col min="9" max="9" width="13.8515625" style="0" customWidth="1"/>
    <col min="10" max="12" width="16.7109375" style="0" customWidth="1"/>
    <col min="13" max="13" width="14.7109375" style="0" customWidth="1"/>
    <col min="14" max="14" width="1.7109375" style="0" customWidth="1"/>
  </cols>
  <sheetData>
    <row r="1" spans="1:14" ht="10.5" customHeight="1" thickBot="1">
      <c r="A1" s="824"/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824"/>
    </row>
    <row r="2" spans="1:14" ht="27" thickBot="1">
      <c r="A2" s="824"/>
      <c r="B2" s="1377" t="s">
        <v>789</v>
      </c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9"/>
      <c r="N2" s="824"/>
    </row>
    <row r="3" spans="1:14" s="472" customFormat="1" ht="15.75">
      <c r="A3" s="824"/>
      <c r="B3" s="1418" t="s">
        <v>790</v>
      </c>
      <c r="C3" s="1419"/>
      <c r="D3" s="1420" t="str">
        <f>'INGRESO DE DATOS'!$G$4</f>
        <v>#</v>
      </c>
      <c r="E3" s="1420"/>
      <c r="F3" s="643" t="s">
        <v>791</v>
      </c>
      <c r="G3" s="1417" t="str">
        <f>'INGRESO DE DATOS'!$G$5</f>
        <v>#</v>
      </c>
      <c r="H3" s="1417"/>
      <c r="I3" s="1417"/>
      <c r="J3" s="1417"/>
      <c r="K3" s="1417"/>
      <c r="L3" s="1417"/>
      <c r="M3" s="638"/>
      <c r="N3" s="824"/>
    </row>
    <row r="4" spans="1:14" s="472" customFormat="1" ht="18.75" customHeight="1">
      <c r="A4" s="824"/>
      <c r="B4" s="639" t="s">
        <v>792</v>
      </c>
      <c r="C4" s="1354" t="str">
        <f>'INGRESO DE DATOS'!$G$6</f>
        <v>#</v>
      </c>
      <c r="D4" s="1354"/>
      <c r="E4" s="1354"/>
      <c r="F4" s="1354"/>
      <c r="G4" s="1354"/>
      <c r="H4" s="1354"/>
      <c r="I4" s="640" t="s">
        <v>787</v>
      </c>
      <c r="J4" s="1430" t="str">
        <f>'INGRESO DE DATOS'!$G$7</f>
        <v>#</v>
      </c>
      <c r="K4" s="1430"/>
      <c r="L4" s="1427" t="s">
        <v>805</v>
      </c>
      <c r="M4" s="1428"/>
      <c r="N4" s="824"/>
    </row>
    <row r="5" spans="1:14" s="472" customFormat="1" ht="18" customHeight="1">
      <c r="A5" s="824"/>
      <c r="B5" s="1435" t="str">
        <f>'INGRESO DE DATOS'!$G$16</f>
        <v>#</v>
      </c>
      <c r="C5" s="1429"/>
      <c r="D5" s="1429"/>
      <c r="E5" s="1429"/>
      <c r="F5" s="640" t="s">
        <v>788</v>
      </c>
      <c r="G5" s="1429" t="str">
        <f>'INGRESO DE DATOS'!$G$17</f>
        <v>#</v>
      </c>
      <c r="H5" s="1429"/>
      <c r="I5" s="1380" t="s">
        <v>806</v>
      </c>
      <c r="J5" s="1381"/>
      <c r="K5" s="1429" t="str">
        <f>'INGRESO DE DATOS'!$G$18</f>
        <v>#</v>
      </c>
      <c r="L5" s="1429"/>
      <c r="M5" s="1434"/>
      <c r="N5" s="824"/>
    </row>
    <row r="6" spans="1:14" s="472" customFormat="1" ht="18.75" customHeight="1">
      <c r="A6" s="824"/>
      <c r="B6" s="1439" t="s">
        <v>793</v>
      </c>
      <c r="C6" s="1427"/>
      <c r="D6" s="1436" t="str">
        <f>'INGRESO DE DATOS'!$G$23</f>
        <v>#</v>
      </c>
      <c r="E6" s="1437"/>
      <c r="F6" s="1437"/>
      <c r="G6" s="1438"/>
      <c r="H6" s="642" t="s">
        <v>794</v>
      </c>
      <c r="I6" s="1429" t="str">
        <f>'INGRESO DE DATOS'!$G$27</f>
        <v>#</v>
      </c>
      <c r="J6" s="1429"/>
      <c r="K6" s="1429"/>
      <c r="L6" s="761" t="s">
        <v>795</v>
      </c>
      <c r="M6" s="760"/>
      <c r="N6" s="824"/>
    </row>
    <row r="7" spans="1:14" s="472" customFormat="1" ht="15">
      <c r="A7" s="824"/>
      <c r="B7" s="1318"/>
      <c r="C7" s="1318"/>
      <c r="D7" s="1318"/>
      <c r="E7" s="1319"/>
      <c r="F7" s="639" t="s">
        <v>798</v>
      </c>
      <c r="G7" s="640" t="s">
        <v>797</v>
      </c>
      <c r="H7" s="640" t="s">
        <v>799</v>
      </c>
      <c r="I7" s="640" t="s">
        <v>800</v>
      </c>
      <c r="J7" s="641" t="s">
        <v>801</v>
      </c>
      <c r="K7" s="641" t="s">
        <v>802</v>
      </c>
      <c r="L7" s="640" t="s">
        <v>803</v>
      </c>
      <c r="M7" s="641" t="s">
        <v>804</v>
      </c>
      <c r="N7" s="824"/>
    </row>
    <row r="8" spans="1:14" s="472" customFormat="1" ht="16.5" thickBot="1">
      <c r="A8" s="824"/>
      <c r="B8" s="1320"/>
      <c r="C8" s="1320"/>
      <c r="D8" s="1320"/>
      <c r="E8" s="1321"/>
      <c r="F8" s="758" t="str">
        <f>'INGRESO DE DATOS'!$G$28</f>
        <v>#</v>
      </c>
      <c r="G8" s="757" t="str">
        <f>'INGRESO DE DATOS'!$G$29</f>
        <v>#</v>
      </c>
      <c r="H8" s="757" t="str">
        <f>'INGRESO DE DATOS'!$G$30</f>
        <v>#</v>
      </c>
      <c r="I8" s="757" t="str">
        <f>'INGRESO DE DATOS'!$G$31</f>
        <v>#</v>
      </c>
      <c r="J8" s="759" t="str">
        <f>'INGRESO DE DATOS'!$G$32</f>
        <v>#</v>
      </c>
      <c r="K8" s="759" t="str">
        <f>'INGRESO DE DATOS'!$G$33</f>
        <v>#</v>
      </c>
      <c r="L8" s="757" t="str">
        <f>'INGRESO DE DATOS'!$G$35</f>
        <v>#</v>
      </c>
      <c r="M8" s="759" t="str">
        <f>'INGRESO DE DATOS'!$G$36</f>
        <v>#</v>
      </c>
      <c r="N8" s="824"/>
    </row>
    <row r="9" spans="1:14" ht="16.5" thickBot="1">
      <c r="A9" s="824"/>
      <c r="B9" s="1431" t="s">
        <v>796</v>
      </c>
      <c r="C9" s="1432"/>
      <c r="D9" s="1432"/>
      <c r="E9" s="1433"/>
      <c r="F9" s="1440" t="str">
        <f>'INGRESO DE DATOS'!$G$46</f>
        <v>Por administracion (el propietario es el empresario)</v>
      </c>
      <c r="G9" s="1440"/>
      <c r="H9" s="1440"/>
      <c r="I9" s="1440"/>
      <c r="J9" s="1440"/>
      <c r="K9" s="1440"/>
      <c r="L9" s="1440"/>
      <c r="M9" s="1441"/>
      <c r="N9" s="824"/>
    </row>
    <row r="10" spans="1:14" ht="13.5" thickBot="1">
      <c r="A10" s="824"/>
      <c r="B10" s="1421"/>
      <c r="C10" s="1422"/>
      <c r="D10" s="1422"/>
      <c r="E10" s="1422"/>
      <c r="F10" s="1423"/>
      <c r="G10" s="1423"/>
      <c r="H10" s="1423"/>
      <c r="I10" s="1423"/>
      <c r="J10" s="1423"/>
      <c r="K10" s="1423"/>
      <c r="L10" s="1423"/>
      <c r="M10" s="1424"/>
      <c r="N10" s="824"/>
    </row>
    <row r="11" spans="1:14" ht="25.5" customHeight="1" thickBot="1">
      <c r="A11" s="824"/>
      <c r="B11" s="1346" t="s">
        <v>820</v>
      </c>
      <c r="C11" s="1347"/>
      <c r="D11" s="1347"/>
      <c r="E11" s="1347"/>
      <c r="F11" s="1347"/>
      <c r="G11" s="1347"/>
      <c r="H11" s="1347"/>
      <c r="I11" s="1347"/>
      <c r="J11" s="1347"/>
      <c r="K11" s="1347"/>
      <c r="L11" s="1347"/>
      <c r="M11" s="1348"/>
      <c r="N11" s="824"/>
    </row>
    <row r="12" spans="1:14" s="472" customFormat="1" ht="24" customHeight="1" thickBot="1">
      <c r="A12" s="824"/>
      <c r="B12" s="989" t="s">
        <v>832</v>
      </c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1"/>
      <c r="N12" s="824"/>
    </row>
    <row r="13" spans="1:14" s="597" customFormat="1" ht="16.5" customHeight="1">
      <c r="A13" s="968"/>
      <c r="B13" s="969" t="str">
        <f>IF('INGRESO DE DATOS'!I90=0,"   ",'INGRESO DE DATOS'!K90)</f>
        <v>   </v>
      </c>
      <c r="C13" s="1364" t="str">
        <f>IF('INGRESO DE DATOS'!I90=0,"   ",'INGRESO DE DATOS'!B90)</f>
        <v>   </v>
      </c>
      <c r="D13" s="1364"/>
      <c r="E13" s="965" t="str">
        <f>IF('INGRESO DE DATOS'!I90=0,"   ",'INGRESO DE DATOS'!G90)</f>
        <v>   </v>
      </c>
      <c r="F13" s="965" t="str">
        <f>IF('INGRESO DE DATOS'!I90=0,"   ",'INGRESO DE DATOS'!I90)</f>
        <v>   </v>
      </c>
      <c r="G13" s="1341" t="str">
        <f>IF('INGRESO DE DATOS'!I90=0,"   "," a razon de")</f>
        <v>   </v>
      </c>
      <c r="H13" s="1341"/>
      <c r="I13" s="1341"/>
      <c r="J13" s="970" t="str">
        <f>IF('INGRESO DE DATOS'!I90=0,"   ",'INGRESO DE DATOS'!J90)</f>
        <v>   </v>
      </c>
      <c r="K13" s="965" t="str">
        <f>IF('INGRESO DE DATOS'!I90=0,"   ","$/m2")</f>
        <v>   </v>
      </c>
      <c r="L13" s="1349" t="str">
        <f>IF('INGRESO DE DATOS'!I90=0,"   ",'PLANILLA DE CALCULOS '!J12)</f>
        <v>   </v>
      </c>
      <c r="M13" s="1350"/>
      <c r="N13" s="968"/>
    </row>
    <row r="14" spans="1:14" s="597" customFormat="1" ht="16.5" customHeight="1">
      <c r="A14" s="968"/>
      <c r="B14" s="971" t="str">
        <f>IF('INGRESO DE DATOS'!I91=0,"   ",'INGRESO DE DATOS'!K91)</f>
        <v>   </v>
      </c>
      <c r="C14" s="1340" t="str">
        <f>IF('INGRESO DE DATOS'!I91=0,"   ",'INGRESO DE DATOS'!B91)</f>
        <v>   </v>
      </c>
      <c r="D14" s="1340"/>
      <c r="E14" s="964" t="str">
        <f>IF('INGRESO DE DATOS'!I91=0,"   ",'INGRESO DE DATOS'!G91)</f>
        <v>   </v>
      </c>
      <c r="F14" s="964" t="str">
        <f>IF('INGRESO DE DATOS'!I91=0,"   ",'INGRESO DE DATOS'!I91)</f>
        <v>   </v>
      </c>
      <c r="G14" s="1342" t="str">
        <f>IF('INGRESO DE DATOS'!I91=0,"   "," a razon de")</f>
        <v>   </v>
      </c>
      <c r="H14" s="1342"/>
      <c r="I14" s="1342"/>
      <c r="J14" s="972" t="str">
        <f>IF('INGRESO DE DATOS'!I91=0,"   ",'INGRESO DE DATOS'!J91)</f>
        <v>   </v>
      </c>
      <c r="K14" s="964" t="str">
        <f>IF('INGRESO DE DATOS'!I91=0,"   ","$/m2")</f>
        <v>   </v>
      </c>
      <c r="L14" s="1351" t="str">
        <f>IF('INGRESO DE DATOS'!I91=0,"   ",'PLANILLA DE CALCULOS '!J13)</f>
        <v>   </v>
      </c>
      <c r="M14" s="1352"/>
      <c r="N14" s="968"/>
    </row>
    <row r="15" spans="1:14" s="597" customFormat="1" ht="16.5" customHeight="1">
      <c r="A15" s="968"/>
      <c r="B15" s="971" t="str">
        <f>IF('INGRESO DE DATOS'!I92=0,"   ",'INGRESO DE DATOS'!K92)</f>
        <v>   </v>
      </c>
      <c r="C15" s="1340" t="str">
        <f>IF('INGRESO DE DATOS'!I92=0,"   ",'INGRESO DE DATOS'!B92)</f>
        <v>   </v>
      </c>
      <c r="D15" s="1340"/>
      <c r="E15" s="964" t="str">
        <f>IF('INGRESO DE DATOS'!I92=0,"   ",'INGRESO DE DATOS'!G92)</f>
        <v>   </v>
      </c>
      <c r="F15" s="964" t="str">
        <f>IF('INGRESO DE DATOS'!I92=0,"   ",'INGRESO DE DATOS'!I92)</f>
        <v>   </v>
      </c>
      <c r="G15" s="1342" t="str">
        <f>IF('INGRESO DE DATOS'!I92=0,"   "," a razon de")</f>
        <v>   </v>
      </c>
      <c r="H15" s="1342"/>
      <c r="I15" s="1342"/>
      <c r="J15" s="972" t="str">
        <f>IF('INGRESO DE DATOS'!I92=0,"   ",'INGRESO DE DATOS'!J92)</f>
        <v>   </v>
      </c>
      <c r="K15" s="964" t="str">
        <f>IF('INGRESO DE DATOS'!I92=0,"   ","$/m2")</f>
        <v>   </v>
      </c>
      <c r="L15" s="1351" t="str">
        <f>IF('INGRESO DE DATOS'!I92=0,"   ",'PLANILLA DE CALCULOS '!J14)</f>
        <v>   </v>
      </c>
      <c r="M15" s="1352"/>
      <c r="N15" s="968"/>
    </row>
    <row r="16" spans="1:14" s="597" customFormat="1" ht="16.5" customHeight="1">
      <c r="A16" s="968"/>
      <c r="B16" s="971" t="str">
        <f>IF('INGRESO DE DATOS'!I93=0,"   ",'INGRESO DE DATOS'!K93)</f>
        <v>   </v>
      </c>
      <c r="C16" s="1340" t="str">
        <f>IF('INGRESO DE DATOS'!I93=0,"   ",'INGRESO DE DATOS'!B93)</f>
        <v>   </v>
      </c>
      <c r="D16" s="1340"/>
      <c r="E16" s="964" t="str">
        <f>IF('INGRESO DE DATOS'!I93=0,"   ",'INGRESO DE DATOS'!G93)</f>
        <v>   </v>
      </c>
      <c r="F16" s="964" t="str">
        <f>IF('INGRESO DE DATOS'!I93=0,"   ",'INGRESO DE DATOS'!I93)</f>
        <v>   </v>
      </c>
      <c r="G16" s="1342" t="str">
        <f>IF('INGRESO DE DATOS'!I93=0,"   "," a razon de")</f>
        <v>   </v>
      </c>
      <c r="H16" s="1342"/>
      <c r="I16" s="1342"/>
      <c r="J16" s="972" t="str">
        <f>IF('INGRESO DE DATOS'!I93=0,"   ",'INGRESO DE DATOS'!J93)</f>
        <v>   </v>
      </c>
      <c r="K16" s="964" t="str">
        <f>IF('INGRESO DE DATOS'!I93=0,"   ","$/m2")</f>
        <v>   </v>
      </c>
      <c r="L16" s="1351" t="str">
        <f>IF('INGRESO DE DATOS'!I93=0,"   ",'PLANILLA DE CALCULOS '!J15)</f>
        <v>   </v>
      </c>
      <c r="M16" s="1352"/>
      <c r="N16" s="968"/>
    </row>
    <row r="17" spans="1:14" s="597" customFormat="1" ht="16.5" customHeight="1">
      <c r="A17" s="968"/>
      <c r="B17" s="971" t="str">
        <f>IF('INGRESO DE DATOS'!I94=0,"   ",'INGRESO DE DATOS'!K94)</f>
        <v>   </v>
      </c>
      <c r="C17" s="1340" t="str">
        <f>IF('INGRESO DE DATOS'!I94=0,"   ",'INGRESO DE DATOS'!B94)</f>
        <v>   </v>
      </c>
      <c r="D17" s="1340"/>
      <c r="E17" s="964" t="str">
        <f>IF('INGRESO DE DATOS'!I94=0,"   ",'INGRESO DE DATOS'!G94)</f>
        <v>   </v>
      </c>
      <c r="F17" s="964" t="str">
        <f>IF('INGRESO DE DATOS'!I94=0,"   ",'INGRESO DE DATOS'!I94)</f>
        <v>   </v>
      </c>
      <c r="G17" s="1342" t="str">
        <f>IF('INGRESO DE DATOS'!I94=0,"   "," a razon de")</f>
        <v>   </v>
      </c>
      <c r="H17" s="1342"/>
      <c r="I17" s="1342"/>
      <c r="J17" s="972" t="str">
        <f>IF('INGRESO DE DATOS'!I94=0,"   ",'INGRESO DE DATOS'!J94)</f>
        <v>   </v>
      </c>
      <c r="K17" s="964" t="str">
        <f>IF('INGRESO DE DATOS'!I94=0,"   ","$/m2")</f>
        <v>   </v>
      </c>
      <c r="L17" s="1351" t="str">
        <f>IF('INGRESO DE DATOS'!I94=0,"   ",'PLANILLA DE CALCULOS '!J16)</f>
        <v>   </v>
      </c>
      <c r="M17" s="1352"/>
      <c r="N17" s="968"/>
    </row>
    <row r="18" spans="1:14" s="597" customFormat="1" ht="16.5" customHeight="1">
      <c r="A18" s="968"/>
      <c r="B18" s="971" t="str">
        <f>IF('INGRESO DE DATOS'!I95=0,"   ",'INGRESO DE DATOS'!K95)</f>
        <v>   </v>
      </c>
      <c r="C18" s="1340" t="str">
        <f>IF('INGRESO DE DATOS'!I95=0,"   ",'INGRESO DE DATOS'!B95)</f>
        <v>   </v>
      </c>
      <c r="D18" s="1340"/>
      <c r="E18" s="964" t="str">
        <f>IF('INGRESO DE DATOS'!I95=0,"   ",'INGRESO DE DATOS'!G95)</f>
        <v>   </v>
      </c>
      <c r="F18" s="964" t="str">
        <f>IF('INGRESO DE DATOS'!I95=0,"   ",'INGRESO DE DATOS'!I95)</f>
        <v>   </v>
      </c>
      <c r="G18" s="1342" t="str">
        <f>IF('INGRESO DE DATOS'!I95=0,"   "," a razon de")</f>
        <v>   </v>
      </c>
      <c r="H18" s="1342"/>
      <c r="I18" s="1342"/>
      <c r="J18" s="972" t="str">
        <f>IF('INGRESO DE DATOS'!I95=0,"   ",'INGRESO DE DATOS'!J95)</f>
        <v>   </v>
      </c>
      <c r="K18" s="964" t="str">
        <f>IF('INGRESO DE DATOS'!I95=0,"   ","$/m2")</f>
        <v>   </v>
      </c>
      <c r="L18" s="1351" t="str">
        <f>IF('INGRESO DE DATOS'!I95=0,"   ",'PLANILLA DE CALCULOS '!J17)</f>
        <v>   </v>
      </c>
      <c r="M18" s="1352"/>
      <c r="N18" s="968"/>
    </row>
    <row r="19" spans="1:14" s="597" customFormat="1" ht="16.5" customHeight="1">
      <c r="A19" s="968"/>
      <c r="B19" s="971" t="str">
        <f>IF('INGRESO DE DATOS'!I96=0,"   ",'INGRESO DE DATOS'!K96)</f>
        <v>   </v>
      </c>
      <c r="C19" s="1340" t="str">
        <f>IF('INGRESO DE DATOS'!I96=0,"   ",'INGRESO DE DATOS'!B96)</f>
        <v>   </v>
      </c>
      <c r="D19" s="1340"/>
      <c r="E19" s="964" t="str">
        <f>IF('INGRESO DE DATOS'!I96=0,"   ",'INGRESO DE DATOS'!G96)</f>
        <v>   </v>
      </c>
      <c r="F19" s="964" t="str">
        <f>IF('INGRESO DE DATOS'!I96=0,"   ",'INGRESO DE DATOS'!I96)</f>
        <v>   </v>
      </c>
      <c r="G19" s="1342" t="str">
        <f>IF('INGRESO DE DATOS'!I96=0,"   "," a razon de")</f>
        <v>   </v>
      </c>
      <c r="H19" s="1342"/>
      <c r="I19" s="1342"/>
      <c r="J19" s="972" t="str">
        <f>IF('INGRESO DE DATOS'!I96=0,"   ",'INGRESO DE DATOS'!J96)</f>
        <v>   </v>
      </c>
      <c r="K19" s="964" t="str">
        <f>IF('INGRESO DE DATOS'!I96=0,"   ","$/m2")</f>
        <v>   </v>
      </c>
      <c r="L19" s="1351" t="str">
        <f>IF('INGRESO DE DATOS'!I96=0,"   ",'PLANILLA DE CALCULOS '!J18)</f>
        <v>   </v>
      </c>
      <c r="M19" s="1352"/>
      <c r="N19" s="968"/>
    </row>
    <row r="20" spans="1:14" s="597" customFormat="1" ht="16.5" customHeight="1">
      <c r="A20" s="968"/>
      <c r="B20" s="971" t="str">
        <f>IF('INGRESO DE DATOS'!I97=0,"   ",'INGRESO DE DATOS'!K97)</f>
        <v>   </v>
      </c>
      <c r="C20" s="1340" t="str">
        <f>IF('INGRESO DE DATOS'!I97=0,"   ",'INGRESO DE DATOS'!B97)</f>
        <v>   </v>
      </c>
      <c r="D20" s="1340"/>
      <c r="E20" s="964" t="str">
        <f>IF('INGRESO DE DATOS'!I97=0,"   ",'INGRESO DE DATOS'!G97)</f>
        <v>   </v>
      </c>
      <c r="F20" s="964" t="str">
        <f>IF('INGRESO DE DATOS'!I97=0,"   ",'INGRESO DE DATOS'!I97)</f>
        <v>   </v>
      </c>
      <c r="G20" s="1342" t="str">
        <f>IF('INGRESO DE DATOS'!I97=0,"   "," a razon de")</f>
        <v>   </v>
      </c>
      <c r="H20" s="1342"/>
      <c r="I20" s="1342"/>
      <c r="J20" s="972" t="str">
        <f>IF('INGRESO DE DATOS'!I97=0,"   ",'INGRESO DE DATOS'!J97)</f>
        <v>   </v>
      </c>
      <c r="K20" s="964" t="str">
        <f>IF('INGRESO DE DATOS'!I97=0,"   ","$/m2")</f>
        <v>   </v>
      </c>
      <c r="L20" s="1351" t="str">
        <f>IF('INGRESO DE DATOS'!I97=0,"   ",'PLANILLA DE CALCULOS '!J19)</f>
        <v>   </v>
      </c>
      <c r="M20" s="1352"/>
      <c r="N20" s="968"/>
    </row>
    <row r="21" spans="1:14" s="597" customFormat="1" ht="16.5" customHeight="1">
      <c r="A21" s="968"/>
      <c r="B21" s="971" t="str">
        <f>IF('INGRESO DE DATOS'!I98=0,"   ",'INGRESO DE DATOS'!K98)</f>
        <v>   </v>
      </c>
      <c r="C21" s="1340" t="str">
        <f>IF('INGRESO DE DATOS'!I98=0,"   ",'INGRESO DE DATOS'!B98)</f>
        <v>   </v>
      </c>
      <c r="D21" s="1340"/>
      <c r="E21" s="964" t="str">
        <f>IF('INGRESO DE DATOS'!I98=0,"   ",'INGRESO DE DATOS'!G98)</f>
        <v>   </v>
      </c>
      <c r="F21" s="964" t="str">
        <f>IF('INGRESO DE DATOS'!I98=0,"   ",'INGRESO DE DATOS'!I98)</f>
        <v>   </v>
      </c>
      <c r="G21" s="1342" t="str">
        <f>IF('INGRESO DE DATOS'!I98=0,"   "," a razon de")</f>
        <v>   </v>
      </c>
      <c r="H21" s="1342"/>
      <c r="I21" s="1342"/>
      <c r="J21" s="964" t="str">
        <f>IF('INGRESO DE DATOS'!I98=0,"   ",'INGRESO DE DATOS'!J98)</f>
        <v>   </v>
      </c>
      <c r="K21" s="964" t="str">
        <f>IF('INGRESO DE DATOS'!I98=0,"   ","$/m2")</f>
        <v>   </v>
      </c>
      <c r="L21" s="1351" t="str">
        <f>IF('INGRESO DE DATOS'!I98=0,"   ",'PLANILLA DE CALCULOS '!J20)</f>
        <v>   </v>
      </c>
      <c r="M21" s="1352"/>
      <c r="N21" s="968"/>
    </row>
    <row r="22" spans="1:14" s="973" customFormat="1" ht="16.5" customHeight="1">
      <c r="A22" s="968"/>
      <c r="B22" s="971" t="str">
        <f>IF('INGRESO DE DATOS'!I99=0,"   ",'INGRESO DE DATOS'!K99)</f>
        <v>   </v>
      </c>
      <c r="C22" s="1340" t="str">
        <f>IF('INGRESO DE DATOS'!I99=0,"   ",'INGRESO DE DATOS'!B99)</f>
        <v>   </v>
      </c>
      <c r="D22" s="1340"/>
      <c r="E22" s="964" t="str">
        <f>IF('INGRESO DE DATOS'!I99=0,"   ",'INGRESO DE DATOS'!G99)</f>
        <v>   </v>
      </c>
      <c r="F22" s="964" t="str">
        <f>IF('INGRESO DE DATOS'!I99=0,"   ",'INGRESO DE DATOS'!I99)</f>
        <v>   </v>
      </c>
      <c r="G22" s="1342" t="str">
        <f>IF('INGRESO DE DATOS'!I99=0,"   "," a razon de")</f>
        <v>   </v>
      </c>
      <c r="H22" s="1342"/>
      <c r="I22" s="1342"/>
      <c r="J22" s="964" t="str">
        <f>IF('INGRESO DE DATOS'!I99=0,"   ",'INGRESO DE DATOS'!J99)</f>
        <v>   </v>
      </c>
      <c r="K22" s="964" t="str">
        <f>IF('INGRESO DE DATOS'!I99=0,"   ","$/m2")</f>
        <v>   </v>
      </c>
      <c r="L22" s="1351" t="str">
        <f>IF('INGRESO DE DATOS'!I99=0,"   ",'PLANILLA DE CALCULOS '!J21)</f>
        <v>   </v>
      </c>
      <c r="M22" s="1352"/>
      <c r="N22" s="968"/>
    </row>
    <row r="23" spans="1:14" s="597" customFormat="1" ht="16.5" customHeight="1">
      <c r="A23" s="968"/>
      <c r="B23" s="1365" t="str">
        <f>IF('INGRESO DE DATOS'!I100=0,"   ","Cambio de techo por computo y presupuesto ----------------------------------------------------------------------------")</f>
        <v>   </v>
      </c>
      <c r="C23" s="1366"/>
      <c r="D23" s="1366"/>
      <c r="E23" s="1366"/>
      <c r="F23" s="1366"/>
      <c r="G23" s="1366"/>
      <c r="H23" s="1366"/>
      <c r="I23" s="1366"/>
      <c r="J23" s="1366"/>
      <c r="K23" s="1367"/>
      <c r="L23" s="1401" t="str">
        <f>IF('PLANILLA DE CALCULOS '!J22=0,"   ",'PLANILLA DE CALCULOS '!J22)</f>
        <v>   </v>
      </c>
      <c r="M23" s="1444"/>
      <c r="N23" s="968"/>
    </row>
    <row r="24" spans="1:14" s="973" customFormat="1" ht="16.5" customHeight="1">
      <c r="A24" s="968"/>
      <c r="B24" s="1365" t="str">
        <f>IF('INGRESO DE DATOS'!I101=0,"   ","Modificacion interna por computo y presupuesto ----------------------------------------------------------------------")</f>
        <v>   </v>
      </c>
      <c r="C24" s="1366"/>
      <c r="D24" s="1366"/>
      <c r="E24" s="1366"/>
      <c r="F24" s="1366"/>
      <c r="G24" s="1366"/>
      <c r="H24" s="1366"/>
      <c r="I24" s="1366"/>
      <c r="J24" s="1366"/>
      <c r="K24" s="1367"/>
      <c r="L24" s="1351" t="str">
        <f>IF('PLANILLA DE CALCULOS '!J23=0,"   ",'PLANILLA DE CALCULOS '!J23)</f>
        <v>   </v>
      </c>
      <c r="M24" s="1352"/>
      <c r="N24" s="968"/>
    </row>
    <row r="25" spans="1:14" s="597" customFormat="1" ht="16.5" customHeight="1" thickBot="1">
      <c r="A25" s="968"/>
      <c r="B25" s="1402" t="str">
        <f>IF('INGRESO DE DATOS'!B102="  ","  ",'INGRESO DE DATOS'!B102)</f>
        <v>  </v>
      </c>
      <c r="C25" s="1403"/>
      <c r="D25" s="1404"/>
      <c r="E25" s="974" t="str">
        <f>IF('INGRESO DE DATOS'!E102="  ","   ",'INGRESO DE DATOS'!G102)</f>
        <v>   </v>
      </c>
      <c r="F25" s="974" t="str">
        <f>IF('INGRESO DE DATOS'!F102=0,"   ",'INGRESO DE DATOS'!I102)</f>
        <v>  </v>
      </c>
      <c r="G25" s="975" t="str">
        <f>IF('INGRESO DE DATOS'!$I$102="  ","   "," CUYO  V.O.")</f>
        <v>   </v>
      </c>
      <c r="H25" s="1362" t="str">
        <f>IF('INGRESO DE DATOS'!$I$102=0,"   ",'INGRESO DE DATOS'!E102)</f>
        <v>  </v>
      </c>
      <c r="I25" s="1363"/>
      <c r="J25" s="976" t="str">
        <f>IF('INGRESO DE DATOS'!$I$102="  ","   "," % FALTANTE")</f>
        <v>   </v>
      </c>
      <c r="K25" s="977" t="str">
        <f>IF('INGRESO DE DATOS'!$I$102=0,"   ",'INGRESO DE DATOS'!F102)</f>
        <v>  </v>
      </c>
      <c r="L25" s="1401" t="str">
        <f>IF('INGRESO DE DATOS'!I102="  ","   ",'PLANILLA DE CALCULOS '!J24)</f>
        <v>   </v>
      </c>
      <c r="M25" s="1401"/>
      <c r="N25" s="968"/>
    </row>
    <row r="26" spans="1:14" ht="21.75" customHeight="1" thickBot="1">
      <c r="A26" s="824"/>
      <c r="B26" s="1442" t="s">
        <v>856</v>
      </c>
      <c r="C26" s="1443"/>
      <c r="D26" s="1443"/>
      <c r="E26" s="1443"/>
      <c r="F26" s="1443"/>
      <c r="G26" s="1443"/>
      <c r="H26" s="1443"/>
      <c r="I26" s="1443"/>
      <c r="J26" s="1443"/>
      <c r="K26" s="1443"/>
      <c r="L26" s="1344">
        <f>'PLANILLA DE CALCULOS '!$J$25</f>
        <v>0</v>
      </c>
      <c r="M26" s="1345"/>
      <c r="N26" s="824"/>
    </row>
    <row r="27" spans="1:14" ht="21.75" customHeight="1" thickBot="1">
      <c r="A27" s="824"/>
      <c r="B27" s="1368" t="s">
        <v>859</v>
      </c>
      <c r="C27" s="1369"/>
      <c r="D27" s="1369"/>
      <c r="E27" s="1369"/>
      <c r="F27" s="1369"/>
      <c r="G27" s="1369"/>
      <c r="H27" s="1369"/>
      <c r="I27" s="1369"/>
      <c r="J27" s="1369"/>
      <c r="K27" s="1370"/>
      <c r="L27" s="1344">
        <f>'PLANILLA DE CALCULOS '!$J$26</f>
        <v>0</v>
      </c>
      <c r="M27" s="1345"/>
      <c r="N27" s="824"/>
    </row>
    <row r="28" spans="1:14" s="597" customFormat="1" ht="21.75" customHeight="1" thickBot="1">
      <c r="A28" s="824"/>
      <c r="B28" s="1368" t="s">
        <v>885</v>
      </c>
      <c r="C28" s="1369"/>
      <c r="D28" s="1369"/>
      <c r="E28" s="1369"/>
      <c r="F28" s="1369"/>
      <c r="G28" s="1369"/>
      <c r="H28" s="1369"/>
      <c r="I28" s="1369"/>
      <c r="J28" s="1369"/>
      <c r="K28" s="1370"/>
      <c r="L28" s="1445">
        <f>'PLANILLA DE CALCULOS '!J27</f>
        <v>0</v>
      </c>
      <c r="M28" s="1446"/>
      <c r="N28" s="824"/>
    </row>
    <row r="29" spans="1:14" s="472" customFormat="1" ht="15.75" thickBot="1">
      <c r="A29" s="824"/>
      <c r="B29" s="1343"/>
      <c r="C29" s="1343"/>
      <c r="D29" s="1343"/>
      <c r="E29" s="1343"/>
      <c r="F29" s="1343"/>
      <c r="G29" s="1343"/>
      <c r="H29" s="1343"/>
      <c r="I29" s="1343"/>
      <c r="J29" s="1343"/>
      <c r="K29" s="1343"/>
      <c r="L29" s="1343"/>
      <c r="M29" s="1343"/>
      <c r="N29" s="824"/>
    </row>
    <row r="30" spans="1:14" s="472" customFormat="1" ht="18.75" thickBot="1">
      <c r="A30" s="824"/>
      <c r="B30" s="989" t="s">
        <v>823</v>
      </c>
      <c r="C30" s="990"/>
      <c r="D30" s="990"/>
      <c r="E30" s="990"/>
      <c r="F30" s="990"/>
      <c r="G30" s="990"/>
      <c r="H30" s="990"/>
      <c r="I30" s="990"/>
      <c r="J30" s="990"/>
      <c r="K30" s="990"/>
      <c r="L30" s="990"/>
      <c r="M30" s="991"/>
      <c r="N30" s="824"/>
    </row>
    <row r="31" spans="1:14" s="472" customFormat="1" ht="18">
      <c r="A31" s="824"/>
      <c r="B31" s="894" t="str">
        <f>IF('INGRESO DE DATOS'!I105=0,"   ",'INGRESO DE DATOS'!K105)</f>
        <v>   </v>
      </c>
      <c r="C31" s="1406" t="str">
        <f>IF('INGRESO DE DATOS'!I105=0,"   ",'INGRESO DE DATOS'!B105)</f>
        <v>   </v>
      </c>
      <c r="D31" s="1406"/>
      <c r="E31" s="855" t="str">
        <f>IF('INGRESO DE DATOS'!I105=0,"   ",'INGRESO DE DATOS'!G105)</f>
        <v>   </v>
      </c>
      <c r="F31" s="855" t="str">
        <f>IF('INGRESO DE DATOS'!I105=0,"   ",'INGRESO DE DATOS'!I105)</f>
        <v>   </v>
      </c>
      <c r="G31" s="1341" t="str">
        <f>IF('INGRESO DE DATOS'!I105=0,"   ","m2 a razon de")</f>
        <v>   </v>
      </c>
      <c r="H31" s="1341"/>
      <c r="I31" s="1341"/>
      <c r="J31" s="856" t="str">
        <f>IF('INGRESO DE DATOS'!I105=0,"   ",'INGRESO DE DATOS'!J105)</f>
        <v>   </v>
      </c>
      <c r="K31" s="855" t="str">
        <f>IF('INGRESO DE DATOS'!I105=0,"   ","$/m2")</f>
        <v>   </v>
      </c>
      <c r="L31" s="1415" t="str">
        <f>IF('INGRESO DE DATOS'!I105=0,"   ",'PLANILLA DE CALCULOS '!J31)</f>
        <v>   </v>
      </c>
      <c r="M31" s="1416"/>
      <c r="N31" s="824"/>
    </row>
    <row r="32" spans="1:14" s="472" customFormat="1" ht="15">
      <c r="A32" s="824"/>
      <c r="B32" s="631" t="str">
        <f>IF('INGRESO DE DATOS'!I106=0,"   ",'INGRESO DE DATOS'!K106)</f>
        <v>   </v>
      </c>
      <c r="C32" s="1405" t="str">
        <f>IF('INGRESO DE DATOS'!I106=0,"   ",'INGRESO DE DATOS'!B106)</f>
        <v>   </v>
      </c>
      <c r="D32" s="1405"/>
      <c r="E32" s="834" t="str">
        <f>IF('INGRESO DE DATOS'!I106=0,"   ",'INGRESO DE DATOS'!G106)</f>
        <v>   </v>
      </c>
      <c r="F32" s="834" t="str">
        <f>IF('INGRESO DE DATOS'!I106=0,"   ",'INGRESO DE DATOS'!I106)</f>
        <v>   </v>
      </c>
      <c r="G32" s="1342" t="str">
        <f>IF('INGRESO DE DATOS'!I106=0,"   ","m2 a razon de")</f>
        <v>   </v>
      </c>
      <c r="H32" s="1342"/>
      <c r="I32" s="1342"/>
      <c r="J32" s="834" t="str">
        <f>IF('INGRESO DE DATOS'!I106=0,"   ",'INGRESO DE DATOS'!J106)</f>
        <v>   </v>
      </c>
      <c r="K32" s="834" t="str">
        <f>IF('INGRESO DE DATOS'!I106=0,"   ","$/m2")</f>
        <v>   </v>
      </c>
      <c r="L32" s="1399" t="str">
        <f>IF('INGRESO DE DATOS'!I106=0,"   ",'PLANILLA DE CALCULOS '!J32)</f>
        <v>   </v>
      </c>
      <c r="M32" s="1400"/>
      <c r="N32" s="824"/>
    </row>
    <row r="33" spans="1:14" s="472" customFormat="1" ht="18">
      <c r="A33" s="824"/>
      <c r="B33" s="631" t="str">
        <f>IF('INGRESO DE DATOS'!I107=0,"   ",'INGRESO DE DATOS'!K107)</f>
        <v>   </v>
      </c>
      <c r="C33" s="1405" t="str">
        <f>IF('INGRESO DE DATOS'!I107=0,"   ",'INGRESO DE DATOS'!B107)</f>
        <v>   </v>
      </c>
      <c r="D33" s="1405"/>
      <c r="E33" s="834" t="str">
        <f>IF('INGRESO DE DATOS'!I107=0,"   ",'INGRESO DE DATOS'!G107)</f>
        <v>   </v>
      </c>
      <c r="F33" s="834" t="str">
        <f>IF('INGRESO DE DATOS'!I107=0,"   ",'INGRESO DE DATOS'!I107)</f>
        <v>   </v>
      </c>
      <c r="G33" s="1342" t="str">
        <f>IF('INGRESO DE DATOS'!I107=0,"   ","m2 a razon de")</f>
        <v>   </v>
      </c>
      <c r="H33" s="1342"/>
      <c r="I33" s="1342"/>
      <c r="J33" s="630" t="str">
        <f>IF('INGRESO DE DATOS'!I107=0,"   ",'INGRESO DE DATOS'!J107)</f>
        <v>   </v>
      </c>
      <c r="K33" s="834" t="str">
        <f>IF('INGRESO DE DATOS'!I107=0,"   ","$/m2")</f>
        <v>   </v>
      </c>
      <c r="L33" s="1360" t="str">
        <f>IF('INGRESO DE DATOS'!I107=0,"   ",'PLANILLA DE CALCULOS '!J33)</f>
        <v>   </v>
      </c>
      <c r="M33" s="1361"/>
      <c r="N33" s="824"/>
    </row>
    <row r="34" spans="1:14" s="472" customFormat="1" ht="18">
      <c r="A34" s="824"/>
      <c r="B34" s="631" t="str">
        <f>IF('INGRESO DE DATOS'!I108=0,"   ",'INGRESO DE DATOS'!K108)</f>
        <v>   </v>
      </c>
      <c r="C34" s="1405" t="str">
        <f>IF('INGRESO DE DATOS'!I108=0,"   ",'INGRESO DE DATOS'!B108)</f>
        <v>   </v>
      </c>
      <c r="D34" s="1405"/>
      <c r="E34" s="834" t="str">
        <f>IF('INGRESO DE DATOS'!I108=0,"   ",'INGRESO DE DATOS'!G108)</f>
        <v>   </v>
      </c>
      <c r="F34" s="834" t="str">
        <f>IF('INGRESO DE DATOS'!I108=0,"   ",'INGRESO DE DATOS'!I108)</f>
        <v>   </v>
      </c>
      <c r="G34" s="1342" t="str">
        <f>IF('INGRESO DE DATOS'!I108=0,"   ","m2 a razon de")</f>
        <v>   </v>
      </c>
      <c r="H34" s="1342"/>
      <c r="I34" s="1342"/>
      <c r="J34" s="630" t="str">
        <f>IF('INGRESO DE DATOS'!I108=0,"   ",'INGRESO DE DATOS'!J108)</f>
        <v>   </v>
      </c>
      <c r="K34" s="834" t="str">
        <f>IF('INGRESO DE DATOS'!I108=0,"   ","$/m2")</f>
        <v>   </v>
      </c>
      <c r="L34" s="1360" t="str">
        <f>IF('INGRESO DE DATOS'!I108=0,"   ",'PLANILLA DE CALCULOS '!J34)</f>
        <v>   </v>
      </c>
      <c r="M34" s="1361"/>
      <c r="N34" s="824"/>
    </row>
    <row r="35" spans="1:14" s="472" customFormat="1" ht="15">
      <c r="A35" s="824"/>
      <c r="B35" s="631" t="str">
        <f>IF('INGRESO DE DATOS'!I109=0,"   ",'INGRESO DE DATOS'!K109)</f>
        <v>   </v>
      </c>
      <c r="C35" s="1405" t="str">
        <f>IF('INGRESO DE DATOS'!I109=0,"   ",'INGRESO DE DATOS'!B109)</f>
        <v>   </v>
      </c>
      <c r="D35" s="1405"/>
      <c r="E35" s="834" t="str">
        <f>IF('INGRESO DE DATOS'!I109=0,"   ",'INGRESO DE DATOS'!G109)</f>
        <v>   </v>
      </c>
      <c r="F35" s="834" t="str">
        <f>IF('INGRESO DE DATOS'!I109=0,"   ",'INGRESO DE DATOS'!I109)</f>
        <v>   </v>
      </c>
      <c r="G35" s="1342" t="str">
        <f>IF('INGRESO DE DATOS'!I109=0,"   ","m2 a razon de")</f>
        <v>   </v>
      </c>
      <c r="H35" s="1342"/>
      <c r="I35" s="1342"/>
      <c r="J35" s="834" t="str">
        <f>IF('INGRESO DE DATOS'!I109=0,"   ",'INGRESO DE DATOS'!J109)</f>
        <v>   </v>
      </c>
      <c r="K35" s="834" t="str">
        <f>IF('INGRESO DE DATOS'!I109=0,"   ","$/m2")</f>
        <v>   </v>
      </c>
      <c r="L35" s="1399" t="str">
        <f>IF('INGRESO DE DATOS'!I109=0,"   ",'PLANILLA DE CALCULOS '!J34)</f>
        <v>   </v>
      </c>
      <c r="M35" s="1400"/>
      <c r="N35" s="824"/>
    </row>
    <row r="36" spans="1:14" s="472" customFormat="1" ht="15">
      <c r="A36" s="824"/>
      <c r="B36" s="631" t="str">
        <f>IF('INGRESO DE DATOS'!I110=0,"   ",'INGRESO DE DATOS'!K110)</f>
        <v>   </v>
      </c>
      <c r="C36" s="1405" t="str">
        <f>IF('INGRESO DE DATOS'!I110=0,"   ",'INGRESO DE DATOS'!B110)</f>
        <v>   </v>
      </c>
      <c r="D36" s="1405"/>
      <c r="E36" s="834" t="str">
        <f>IF('INGRESO DE DATOS'!I110=0,"   ",'INGRESO DE DATOS'!G110)</f>
        <v>   </v>
      </c>
      <c r="F36" s="834" t="str">
        <f>IF('INGRESO DE DATOS'!I110=0,"   ",'INGRESO DE DATOS'!I110)</f>
        <v>   </v>
      </c>
      <c r="G36" s="1342" t="str">
        <f>IF('INGRESO DE DATOS'!I110=0,"   ","m2 a razon de")</f>
        <v>   </v>
      </c>
      <c r="H36" s="1342"/>
      <c r="I36" s="1342"/>
      <c r="J36" s="834" t="str">
        <f>IF('INGRESO DE DATOS'!I110=0,"   ",'INGRESO DE DATOS'!J110)</f>
        <v>   </v>
      </c>
      <c r="K36" s="834" t="str">
        <f>IF('INGRESO DE DATOS'!I110=0,"   ","$/m2")</f>
        <v>   </v>
      </c>
      <c r="L36" s="1399" t="str">
        <f>IF('INGRESO DE DATOS'!I110=0,"   ",'PLANILLA DE CALCULOS '!J35)</f>
        <v>   </v>
      </c>
      <c r="M36" s="1400"/>
      <c r="N36" s="824"/>
    </row>
    <row r="37" spans="1:14" s="472" customFormat="1" ht="15">
      <c r="A37" s="824"/>
      <c r="B37" s="631" t="str">
        <f>IF('INGRESO DE DATOS'!I111=0,"   ",'INGRESO DE DATOS'!K111)</f>
        <v>   </v>
      </c>
      <c r="C37" s="1405" t="str">
        <f>IF('INGRESO DE DATOS'!I111=0,"   ",'INGRESO DE DATOS'!B111)</f>
        <v>   </v>
      </c>
      <c r="D37" s="1405"/>
      <c r="E37" s="834" t="str">
        <f>IF('INGRESO DE DATOS'!I111=0,"   ",'INGRESO DE DATOS'!G111)</f>
        <v>   </v>
      </c>
      <c r="F37" s="834" t="str">
        <f>IF('INGRESO DE DATOS'!I111=0,"   ",'INGRESO DE DATOS'!I111)</f>
        <v>   </v>
      </c>
      <c r="G37" s="1342" t="str">
        <f>IF('INGRESO DE DATOS'!I111=0,"   ","m2 a razon de")</f>
        <v>   </v>
      </c>
      <c r="H37" s="1342"/>
      <c r="I37" s="1342"/>
      <c r="J37" s="834" t="str">
        <f>IF('INGRESO DE DATOS'!I111=0,"   ",'INGRESO DE DATOS'!J111)</f>
        <v>   </v>
      </c>
      <c r="K37" s="834" t="str">
        <f>IF('INGRESO DE DATOS'!I111=0,"   ","$/m2")</f>
        <v>   </v>
      </c>
      <c r="L37" s="1399" t="str">
        <f>IF('INGRESO DE DATOS'!I111=0,"   ",'PLANILLA DE CALCULOS '!J36)</f>
        <v>   </v>
      </c>
      <c r="M37" s="1400"/>
      <c r="N37" s="824"/>
    </row>
    <row r="38" spans="1:14" s="472" customFormat="1" ht="15">
      <c r="A38" s="824"/>
      <c r="B38" s="631" t="str">
        <f>IF('INGRESO DE DATOS'!I112=0,"   ",'INGRESO DE DATOS'!K112)</f>
        <v>   </v>
      </c>
      <c r="C38" s="1405" t="str">
        <f>IF('INGRESO DE DATOS'!I112=0,"   ",'INGRESO DE DATOS'!B112)</f>
        <v>   </v>
      </c>
      <c r="D38" s="1405"/>
      <c r="E38" s="834" t="str">
        <f>IF('INGRESO DE DATOS'!I112=0,"   ",'INGRESO DE DATOS'!G112)</f>
        <v>   </v>
      </c>
      <c r="F38" s="834" t="str">
        <f>IF('INGRESO DE DATOS'!I112=0,"   ",'INGRESO DE DATOS'!I112)</f>
        <v>   </v>
      </c>
      <c r="G38" s="1342" t="str">
        <f>IF('INGRESO DE DATOS'!I112=0,"   ","m2 a razon de")</f>
        <v>   </v>
      </c>
      <c r="H38" s="1342"/>
      <c r="I38" s="1342"/>
      <c r="J38" s="834" t="str">
        <f>IF('INGRESO DE DATOS'!I112=0,"   ",'INGRESO DE DATOS'!J112)</f>
        <v>   </v>
      </c>
      <c r="K38" s="834" t="str">
        <f>IF('INGRESO DE DATOS'!I112=0,"   ","$/m2")</f>
        <v>   </v>
      </c>
      <c r="L38" s="1399" t="str">
        <f>IF('INGRESO DE DATOS'!I112=0,"   ",'PLANILLA DE CALCULOS '!J37)</f>
        <v>   </v>
      </c>
      <c r="M38" s="1400"/>
      <c r="N38" s="824"/>
    </row>
    <row r="39" spans="1:14" ht="18.75" customHeight="1">
      <c r="A39" s="824"/>
      <c r="B39" s="631" t="str">
        <f>IF('INGRESO DE DATOS'!I113=0,"   ",'INGRESO DE DATOS'!K113)</f>
        <v>   </v>
      </c>
      <c r="C39" s="1405" t="str">
        <f>IF('INGRESO DE DATOS'!I113=0,"   ",'INGRESO DE DATOS'!B113)</f>
        <v>   </v>
      </c>
      <c r="D39" s="1405"/>
      <c r="E39" s="834" t="str">
        <f>IF('INGRESO DE DATOS'!I113=0,"   ",'INGRESO DE DATOS'!G113)</f>
        <v>   </v>
      </c>
      <c r="F39" s="834" t="str">
        <f>IF('INGRESO DE DATOS'!I113=0,"   ",'INGRESO DE DATOS'!I113)</f>
        <v>   </v>
      </c>
      <c r="G39" s="1342" t="str">
        <f>IF('INGRESO DE DATOS'!I113=0,"   ","m2 a razon de")</f>
        <v>   </v>
      </c>
      <c r="H39" s="1342"/>
      <c r="I39" s="1342"/>
      <c r="J39" s="834" t="str">
        <f>IF('INGRESO DE DATOS'!I113=0,"   ",'INGRESO DE DATOS'!J116)</f>
        <v>   </v>
      </c>
      <c r="K39" s="834" t="str">
        <f>IF('INGRESO DE DATOS'!I113=0,"   ","$/m2")</f>
        <v>   </v>
      </c>
      <c r="L39" s="1399" t="str">
        <f>IF('INGRESO DE DATOS'!I113=0,"   ",'PLANILLA DE CALCULOS '!J40)</f>
        <v>   </v>
      </c>
      <c r="M39" s="1400"/>
      <c r="N39" s="824"/>
    </row>
    <row r="40" spans="1:14" ht="21" customHeight="1">
      <c r="A40" s="824"/>
      <c r="B40" s="1409" t="str">
        <f>IF('INGRESO DE DATOS'!I114=0,"   ","cambio de techo por computo y presupuesto --------------------------------------------------------------------------")</f>
        <v>   </v>
      </c>
      <c r="C40" s="1410"/>
      <c r="D40" s="1410"/>
      <c r="E40" s="1410"/>
      <c r="F40" s="1410"/>
      <c r="G40" s="1410"/>
      <c r="H40" s="1410"/>
      <c r="I40" s="1410"/>
      <c r="J40" s="1410"/>
      <c r="K40" s="1411"/>
      <c r="L40" s="1393" t="str">
        <f>IF('PLANILLA DE CALCULOS '!J38=0,"   ",'PLANILLA DE CALCULOS '!J38)</f>
        <v>   </v>
      </c>
      <c r="M40" s="1394"/>
      <c r="N40" s="824"/>
    </row>
    <row r="41" spans="1:14" ht="16.5" thickBot="1">
      <c r="A41" s="824"/>
      <c r="B41" s="1412" t="str">
        <f>IF('INGRESO DE DATOS'!I115=0,"   ","modificacion interna por computo y presupuesto ---------------------------------------------------------------------")</f>
        <v>   </v>
      </c>
      <c r="C41" s="1413"/>
      <c r="D41" s="1413"/>
      <c r="E41" s="1413"/>
      <c r="F41" s="1413"/>
      <c r="G41" s="1413"/>
      <c r="H41" s="1413"/>
      <c r="I41" s="1413"/>
      <c r="J41" s="1413"/>
      <c r="K41" s="1414"/>
      <c r="L41" s="1407" t="str">
        <f>IF('PLANILLA DE CALCULOS '!J39=0,"   ",'PLANILLA DE CALCULOS '!J39)</f>
        <v>   </v>
      </c>
      <c r="M41" s="1408"/>
      <c r="N41" s="824"/>
    </row>
    <row r="42" spans="1:14" ht="19.5" customHeight="1" thickBot="1">
      <c r="A42" s="824"/>
      <c r="B42" s="1368" t="s">
        <v>4</v>
      </c>
      <c r="C42" s="1369"/>
      <c r="D42" s="1369"/>
      <c r="E42" s="1369"/>
      <c r="F42" s="1369"/>
      <c r="G42" s="1369"/>
      <c r="H42" s="1369"/>
      <c r="I42" s="1369"/>
      <c r="J42" s="1369"/>
      <c r="K42" s="1370"/>
      <c r="L42" s="1397">
        <f>'PLANILLA DE CALCULOS '!J41</f>
        <v>0</v>
      </c>
      <c r="M42" s="1398"/>
      <c r="N42" s="824"/>
    </row>
    <row r="43" spans="1:14" ht="13.5" thickBot="1">
      <c r="A43" s="824"/>
      <c r="B43" s="1382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824"/>
    </row>
    <row r="44" spans="1:14" ht="16.5" thickBot="1">
      <c r="A44" s="824"/>
      <c r="B44" s="86" t="s">
        <v>469</v>
      </c>
      <c r="C44" s="88"/>
      <c r="D44" s="33"/>
      <c r="E44" s="33"/>
      <c r="F44" s="33"/>
      <c r="G44" s="470" t="s">
        <v>473</v>
      </c>
      <c r="H44" s="88"/>
      <c r="I44" s="33"/>
      <c r="J44" s="88"/>
      <c r="K44" s="33"/>
      <c r="L44" s="33"/>
      <c r="M44" s="87"/>
      <c r="N44" s="824"/>
    </row>
    <row r="45" spans="1:14" ht="13.5" thickBot="1">
      <c r="A45" s="824"/>
      <c r="B45" s="27"/>
      <c r="C45" s="31"/>
      <c r="D45" s="28"/>
      <c r="E45" s="28"/>
      <c r="F45" s="219"/>
      <c r="G45" s="862" t="s">
        <v>21</v>
      </c>
      <c r="H45" s="264"/>
      <c r="I45" s="264"/>
      <c r="J45" s="264"/>
      <c r="K45" s="264"/>
      <c r="L45" s="264"/>
      <c r="M45" s="863"/>
      <c r="N45" s="824"/>
    </row>
    <row r="46" spans="1:14" ht="16.5" thickBot="1">
      <c r="A46" s="824"/>
      <c r="B46" s="1425" t="s">
        <v>483</v>
      </c>
      <c r="C46" s="1426"/>
      <c r="D46" s="1426"/>
      <c r="E46" s="1426"/>
      <c r="F46" s="1426"/>
      <c r="G46" s="232" t="s">
        <v>299</v>
      </c>
      <c r="H46" s="168"/>
      <c r="I46" s="72"/>
      <c r="J46" s="163"/>
      <c r="K46" s="163"/>
      <c r="L46" s="163"/>
      <c r="M46" s="233"/>
      <c r="N46" s="824"/>
    </row>
    <row r="47" spans="1:14" ht="18.75" thickBot="1">
      <c r="A47" s="824"/>
      <c r="B47" s="783"/>
      <c r="C47" s="784" t="s">
        <v>2</v>
      </c>
      <c r="D47" s="785"/>
      <c r="E47" s="786">
        <f>'PLANILLA DE CALCULOS '!I48</f>
        <v>0</v>
      </c>
      <c r="F47" s="31"/>
      <c r="G47" s="232"/>
      <c r="H47" s="163"/>
      <c r="I47" s="163"/>
      <c r="J47" s="467" t="str">
        <f>'PLANILLA DE CALCULOS '!E133</f>
        <v>Direccion</v>
      </c>
      <c r="K47" s="468">
        <f>IF('INGRESO DE DATOS'!G66="no",0,'PLANILLA DE CALCULOS '!G133)</f>
        <v>0</v>
      </c>
      <c r="L47" s="469"/>
      <c r="M47" s="233"/>
      <c r="N47" s="824"/>
    </row>
    <row r="48" spans="1:14" ht="15" thickBot="1">
      <c r="A48" s="824"/>
      <c r="B48" s="43"/>
      <c r="C48" s="168" t="s">
        <v>5</v>
      </c>
      <c r="D48" s="72"/>
      <c r="E48" s="45">
        <f>'PLANILLA DE CALCULOS '!I49</f>
        <v>0</v>
      </c>
      <c r="F48" s="45">
        <f>'PLANILLA DE CALCULOS '!K49</f>
        <v>0</v>
      </c>
      <c r="G48" s="232"/>
      <c r="H48" s="857"/>
      <c r="I48" s="28"/>
      <c r="J48" s="163"/>
      <c r="K48" s="858" t="s">
        <v>480</v>
      </c>
      <c r="L48" s="163"/>
      <c r="M48" s="233"/>
      <c r="N48" s="824"/>
    </row>
    <row r="49" spans="1:14" ht="18.75" thickBot="1">
      <c r="A49" s="824"/>
      <c r="B49" s="43"/>
      <c r="C49" s="169">
        <f>'PLANILLA DE CALCULOS '!$E$50</f>
        <v>0</v>
      </c>
      <c r="D49" s="28" t="s">
        <v>43</v>
      </c>
      <c r="E49" s="45">
        <f>'PLANILLA DE CALCULOS '!I50</f>
        <v>0</v>
      </c>
      <c r="F49" s="45">
        <f>'PLANILLA DE CALCULOS '!K50</f>
        <v>0</v>
      </c>
      <c r="G49" s="231"/>
      <c r="H49" s="860"/>
      <c r="I49" s="861"/>
      <c r="J49" s="207"/>
      <c r="K49" s="207"/>
      <c r="L49" s="207"/>
      <c r="M49" s="756">
        <f>'PLANILLA DE CALCULOS '!$N$134</f>
        <v>0</v>
      </c>
      <c r="N49" s="824"/>
    </row>
    <row r="50" spans="1:14" ht="18.75" thickBot="1">
      <c r="A50" s="824"/>
      <c r="B50" s="1357"/>
      <c r="C50" s="1358"/>
      <c r="D50" s="1358"/>
      <c r="E50" s="28" t="s">
        <v>479</v>
      </c>
      <c r="F50" s="822">
        <f>'PLANILLA DE CALCULOS '!K51</f>
        <v>0</v>
      </c>
      <c r="G50" s="849"/>
      <c r="H50" s="849"/>
      <c r="I50" s="849"/>
      <c r="J50" s="849"/>
      <c r="K50" s="849"/>
      <c r="L50" s="849"/>
      <c r="M50" s="849"/>
      <c r="N50" s="824"/>
    </row>
    <row r="51" spans="1:14" ht="16.5" thickBot="1">
      <c r="A51" s="824"/>
      <c r="B51" s="86" t="s">
        <v>470</v>
      </c>
      <c r="C51" s="88"/>
      <c r="D51" s="33"/>
      <c r="E51" s="33"/>
      <c r="F51" s="33" t="s">
        <v>3</v>
      </c>
      <c r="G51" s="470" t="s">
        <v>474</v>
      </c>
      <c r="H51" s="88"/>
      <c r="I51" s="33"/>
      <c r="J51" s="88"/>
      <c r="K51" s="33"/>
      <c r="L51" s="33"/>
      <c r="M51" s="87"/>
      <c r="N51" s="824"/>
    </row>
    <row r="52" spans="1:14" ht="15.75">
      <c r="A52" s="824"/>
      <c r="B52" s="869" t="s">
        <v>69</v>
      </c>
      <c r="C52" s="870"/>
      <c r="D52" s="871">
        <f>'PLANILLA DE CALCULOS '!$E$70</f>
        <v>60</v>
      </c>
      <c r="E52" s="872" t="s">
        <v>477</v>
      </c>
      <c r="F52" s="873">
        <f>'PLANILLA DE CALCULOS '!$V$110</f>
        <v>0</v>
      </c>
      <c r="G52" s="163" t="s">
        <v>300</v>
      </c>
      <c r="H52" s="163"/>
      <c r="I52" s="163"/>
      <c r="J52" s="163"/>
      <c r="K52" s="163"/>
      <c r="L52" s="163"/>
      <c r="M52" s="233"/>
      <c r="N52" s="824"/>
    </row>
    <row r="53" spans="1:14" ht="13.5" thickBot="1">
      <c r="A53" s="824"/>
      <c r="B53" s="874"/>
      <c r="C53" s="31"/>
      <c r="D53" s="31"/>
      <c r="E53" s="28"/>
      <c r="F53" s="875"/>
      <c r="G53" s="163"/>
      <c r="H53" s="163"/>
      <c r="I53" s="163"/>
      <c r="J53" s="482" t="s">
        <v>8</v>
      </c>
      <c r="K53" s="453">
        <f>'PLANILLA DE CALCULOS '!I153</f>
        <v>0</v>
      </c>
      <c r="L53" s="482" t="s">
        <v>8</v>
      </c>
      <c r="M53" s="835"/>
      <c r="N53" s="824"/>
    </row>
    <row r="54" spans="1:14" ht="18.75" thickBot="1">
      <c r="A54" s="824"/>
      <c r="B54" s="876"/>
      <c r="C54" s="170"/>
      <c r="D54" s="30" t="s">
        <v>10</v>
      </c>
      <c r="E54" s="30"/>
      <c r="F54" s="823">
        <f>F52</f>
        <v>0</v>
      </c>
      <c r="G54" s="163"/>
      <c r="H54" s="163"/>
      <c r="I54" s="163" t="str">
        <f>'PLANILLA DE CALCULOS '!G154</f>
        <v>Los primeros.</v>
      </c>
      <c r="J54" s="482" t="s">
        <v>8</v>
      </c>
      <c r="K54" s="453">
        <f>'PLANILLA DE CALCULOS '!I154</f>
        <v>0</v>
      </c>
      <c r="L54" s="482" t="s">
        <v>8</v>
      </c>
      <c r="M54" s="835">
        <f>'PLANILLA DE CALCULOS '!K154</f>
        <v>0</v>
      </c>
      <c r="N54" s="824"/>
    </row>
    <row r="55" spans="1:14" ht="15" customHeight="1">
      <c r="A55" s="824"/>
      <c r="B55" s="877"/>
      <c r="C55" s="749"/>
      <c r="D55" s="730"/>
      <c r="E55" s="718"/>
      <c r="F55" s="878"/>
      <c r="G55" s="163">
        <f>'PLANILLA DE CALCULOS '!E155</f>
        <v>0</v>
      </c>
      <c r="H55" s="163" t="str">
        <f>'PLANILLA DE CALCULOS '!F155</f>
        <v>%</v>
      </c>
      <c r="I55" s="163" t="str">
        <f>'PLANILLA DE CALCULOS '!G155</f>
        <v>s/los sigtes.</v>
      </c>
      <c r="J55" s="482" t="s">
        <v>8</v>
      </c>
      <c r="K55" s="453">
        <f>'PLANILLA DE CALCULOS '!I155</f>
        <v>0</v>
      </c>
      <c r="L55" s="482" t="s">
        <v>8</v>
      </c>
      <c r="M55" s="835">
        <f>'PLANILLA DE CALCULOS '!K155</f>
        <v>0</v>
      </c>
      <c r="N55" s="824"/>
    </row>
    <row r="56" spans="1:14" ht="15.75">
      <c r="A56" s="824"/>
      <c r="B56" s="879" t="s">
        <v>70</v>
      </c>
      <c r="C56" s="32"/>
      <c r="D56" s="32">
        <f>'PLANILLA DE CALCULOS '!$E$71</f>
        <v>40</v>
      </c>
      <c r="E56" s="647" t="s">
        <v>478</v>
      </c>
      <c r="F56" s="880">
        <f>'PLANILLA DE CALCULOS '!$V$111</f>
        <v>0</v>
      </c>
      <c r="G56" s="163">
        <f>'PLANILLA DE CALCULOS '!E156</f>
        <v>0</v>
      </c>
      <c r="H56" s="163" t="str">
        <f>'PLANILLA DE CALCULOS '!F156</f>
        <v>%</v>
      </c>
      <c r="I56" s="163" t="str">
        <f>'PLANILLA DE CALCULOS '!G156</f>
        <v>s/los sigtes.</v>
      </c>
      <c r="J56" s="163"/>
      <c r="K56" s="453">
        <f>'PLANILLA DE CALCULOS '!I156</f>
        <v>0</v>
      </c>
      <c r="L56" s="163"/>
      <c r="M56" s="835">
        <f>'PLANILLA DE CALCULOS '!K156</f>
        <v>0</v>
      </c>
      <c r="N56" s="824"/>
    </row>
    <row r="57" spans="1:14" ht="13.5" thickBot="1">
      <c r="A57" s="824"/>
      <c r="B57" s="302" t="s">
        <v>71</v>
      </c>
      <c r="C57" s="28"/>
      <c r="D57" s="31"/>
      <c r="E57" s="28"/>
      <c r="F57" s="875"/>
      <c r="G57" s="163">
        <f>'PLANILLA DE CALCULOS '!E157</f>
        <v>0</v>
      </c>
      <c r="H57" s="163" t="str">
        <f>'PLANILLA DE CALCULOS '!F157</f>
        <v>%</v>
      </c>
      <c r="I57" s="163" t="str">
        <f>'PLANILLA DE CALCULOS '!G157</f>
        <v>Exedente</v>
      </c>
      <c r="J57" s="163"/>
      <c r="K57" s="453">
        <f>'PLANILLA DE CALCULOS '!I157</f>
        <v>0</v>
      </c>
      <c r="L57" s="163"/>
      <c r="M57" s="835">
        <f>'PLANILLA DE CALCULOS '!K157</f>
        <v>0</v>
      </c>
      <c r="N57" s="824"/>
    </row>
    <row r="58" spans="1:14" ht="13.5" customHeight="1" thickBot="1">
      <c r="A58" s="824"/>
      <c r="B58" s="1355" t="str">
        <f>IF('INGRESO DE DATOS'!G61="SI",'PLANILLA DE CALCULOS '!F76,'PLANILLA DE CALCULOS '!H100)</f>
        <v>  </v>
      </c>
      <c r="C58" s="1356"/>
      <c r="D58" s="44">
        <f>'PLANILLA DE CALCULOS '!$E$104</f>
        <v>200</v>
      </c>
      <c r="E58" s="838" t="s">
        <v>304</v>
      </c>
      <c r="F58" s="881">
        <f>'PLANILLA DE CALCULOS '!$V$112</f>
        <v>0</v>
      </c>
      <c r="G58" s="207"/>
      <c r="H58" s="207"/>
      <c r="I58" s="207"/>
      <c r="J58" s="207"/>
      <c r="K58" s="864" t="str">
        <f>'PLANILLA DE CALCULOS '!I159</f>
        <v>Total (H)</v>
      </c>
      <c r="L58" s="865"/>
      <c r="M58" s="755">
        <f>'PLANILLA DE CALCULOS '!K159</f>
        <v>0</v>
      </c>
      <c r="N58" s="824"/>
    </row>
    <row r="59" spans="1:14" ht="13.5" thickBot="1">
      <c r="A59" s="824"/>
      <c r="B59" s="302"/>
      <c r="C59" s="28"/>
      <c r="D59" s="31"/>
      <c r="E59" s="28"/>
      <c r="F59" s="875"/>
      <c r="G59" s="866"/>
      <c r="H59" s="849"/>
      <c r="I59" s="849"/>
      <c r="J59" s="849"/>
      <c r="K59" s="849"/>
      <c r="L59" s="849"/>
      <c r="M59" s="849"/>
      <c r="N59" s="824"/>
    </row>
    <row r="60" spans="1:14" ht="18.75" thickBot="1">
      <c r="A60" s="824"/>
      <c r="B60" s="882"/>
      <c r="C60" s="861"/>
      <c r="D60" s="883" t="s">
        <v>11</v>
      </c>
      <c r="E60" s="883"/>
      <c r="F60" s="755">
        <f>F56+F58</f>
        <v>0</v>
      </c>
      <c r="G60" s="782" t="s">
        <v>630</v>
      </c>
      <c r="H60" s="88"/>
      <c r="I60" s="33"/>
      <c r="J60" s="88"/>
      <c r="K60" s="33"/>
      <c r="L60" s="33"/>
      <c r="M60" s="87"/>
      <c r="N60" s="824"/>
    </row>
    <row r="61" spans="1:14" ht="13.5" thickBot="1">
      <c r="A61" s="824"/>
      <c r="B61" s="866"/>
      <c r="C61" s="866"/>
      <c r="D61" s="866"/>
      <c r="E61" s="866"/>
      <c r="F61" s="866"/>
      <c r="G61" s="232"/>
      <c r="H61" s="163"/>
      <c r="I61" s="163"/>
      <c r="J61" s="163"/>
      <c r="K61" s="163"/>
      <c r="L61" s="163"/>
      <c r="M61" s="233"/>
      <c r="N61" s="824"/>
    </row>
    <row r="62" spans="1:14" ht="18.75" thickBot="1">
      <c r="A62" s="824"/>
      <c r="B62" s="884" t="s">
        <v>472</v>
      </c>
      <c r="C62" s="264"/>
      <c r="D62" s="264"/>
      <c r="E62" s="264"/>
      <c r="F62" s="583"/>
      <c r="G62" s="867" t="s">
        <v>631</v>
      </c>
      <c r="H62" s="163"/>
      <c r="I62" s="163"/>
      <c r="J62" s="163"/>
      <c r="K62" s="163"/>
      <c r="L62" s="163"/>
      <c r="M62" s="755">
        <f>'PLANILLA DE CALCULOS '!$N$146</f>
        <v>0</v>
      </c>
      <c r="N62" s="824"/>
    </row>
    <row r="63" spans="1:14" ht="18">
      <c r="A63" s="824"/>
      <c r="B63" s="885" t="s">
        <v>852</v>
      </c>
      <c r="C63" s="163"/>
      <c r="D63" s="833">
        <f>'PLANILLA DE CALCULOS '!$S$24</f>
        <v>0</v>
      </c>
      <c r="E63" s="163"/>
      <c r="F63" s="881"/>
      <c r="G63" s="867"/>
      <c r="H63" s="163"/>
      <c r="I63" s="163"/>
      <c r="J63" s="163"/>
      <c r="K63" s="163"/>
      <c r="L63" s="163"/>
      <c r="M63" s="868"/>
      <c r="N63" s="824"/>
    </row>
    <row r="64" spans="1:14" ht="18.75" customHeight="1">
      <c r="A64" s="824"/>
      <c r="B64" s="867" t="s">
        <v>851</v>
      </c>
      <c r="C64" s="497">
        <f>'INGRESO DE DATOS'!$G$53</f>
        <v>0</v>
      </c>
      <c r="D64" s="342">
        <f>'PLANILLA DE CALCULOS '!$I$61</f>
        <v>0</v>
      </c>
      <c r="E64" s="163"/>
      <c r="F64" s="233"/>
      <c r="G64" s="232"/>
      <c r="H64" s="163"/>
      <c r="I64" s="163"/>
      <c r="J64" s="163"/>
      <c r="K64" s="163"/>
      <c r="L64" s="163"/>
      <c r="M64" s="233"/>
      <c r="N64" s="824"/>
    </row>
    <row r="65" spans="1:25" ht="14.25">
      <c r="A65" s="824"/>
      <c r="B65" s="867"/>
      <c r="C65" s="482" t="s">
        <v>34</v>
      </c>
      <c r="D65" s="342">
        <f>'PLANILLA DE CALCULOS '!$I$62</f>
        <v>0</v>
      </c>
      <c r="E65" s="832" t="s">
        <v>854</v>
      </c>
      <c r="F65" s="881">
        <f>'PLANILLA DE CALCULOS '!$K$62</f>
        <v>0</v>
      </c>
      <c r="G65" s="232"/>
      <c r="H65" s="163"/>
      <c r="I65" s="163"/>
      <c r="J65" s="163"/>
      <c r="K65" s="163"/>
      <c r="L65" s="163"/>
      <c r="M65" s="233"/>
      <c r="N65" s="824"/>
      <c r="T65" s="474"/>
      <c r="U65" s="34"/>
      <c r="V65" s="28"/>
      <c r="W65" s="28"/>
      <c r="X65" s="28"/>
      <c r="Y65" s="28"/>
    </row>
    <row r="66" spans="1:25" ht="12.75">
      <c r="A66" s="824"/>
      <c r="B66" s="232"/>
      <c r="C66" s="482" t="s">
        <v>853</v>
      </c>
      <c r="D66" s="342">
        <f>'PLANILLA DE CALCULOS '!$I$63</f>
        <v>0</v>
      </c>
      <c r="E66" s="900">
        <f>('PLANILLA DE CALCULOS '!$G$63)/100</f>
        <v>0</v>
      </c>
      <c r="F66" s="881">
        <f>'PLANILLA DE CALCULOS '!$K$63</f>
        <v>0</v>
      </c>
      <c r="G66" s="232"/>
      <c r="H66" s="163"/>
      <c r="I66" s="163"/>
      <c r="J66" s="163"/>
      <c r="K66" s="163"/>
      <c r="L66" s="163"/>
      <c r="M66" s="233"/>
      <c r="N66" s="824"/>
      <c r="T66" s="163"/>
      <c r="U66" s="163"/>
      <c r="V66" s="163"/>
      <c r="W66" s="163"/>
      <c r="X66" s="163"/>
      <c r="Y66" s="163"/>
    </row>
    <row r="67" spans="1:14" ht="25.5" customHeight="1">
      <c r="A67" s="824"/>
      <c r="B67" s="232"/>
      <c r="C67" s="163"/>
      <c r="D67" s="163"/>
      <c r="E67" s="28"/>
      <c r="F67" s="881">
        <f>'PLANILLA DE CALCULOS '!$K$64</f>
        <v>0</v>
      </c>
      <c r="G67" s="232"/>
      <c r="H67" s="163"/>
      <c r="I67" s="163"/>
      <c r="J67" s="163"/>
      <c r="K67" s="163"/>
      <c r="L67" s="163"/>
      <c r="M67" s="233"/>
      <c r="N67" s="824"/>
    </row>
    <row r="68" spans="1:14" ht="17.25" customHeight="1">
      <c r="A68" s="824"/>
      <c r="B68" s="867" t="s">
        <v>855</v>
      </c>
      <c r="C68" s="163"/>
      <c r="D68" s="163"/>
      <c r="E68" s="28"/>
      <c r="F68" s="881">
        <f>'PLANILLA DE CALCULOS '!$P$66</f>
        <v>0</v>
      </c>
      <c r="G68" s="232"/>
      <c r="H68" s="163"/>
      <c r="I68" s="163"/>
      <c r="J68" s="163"/>
      <c r="K68" s="163"/>
      <c r="L68" s="163"/>
      <c r="M68" s="233"/>
      <c r="N68" s="824"/>
    </row>
    <row r="69" spans="1:14" ht="13.5" thickBot="1">
      <c r="A69" s="824"/>
      <c r="B69" s="232"/>
      <c r="C69" s="163"/>
      <c r="D69" s="163"/>
      <c r="E69" s="163"/>
      <c r="F69" s="233"/>
      <c r="G69" s="231"/>
      <c r="H69" s="207"/>
      <c r="I69" s="207"/>
      <c r="J69" s="207"/>
      <c r="K69" s="207"/>
      <c r="L69" s="207"/>
      <c r="M69" s="234"/>
      <c r="N69" s="824"/>
    </row>
    <row r="70" spans="1:26" ht="23.25" customHeight="1" thickBot="1">
      <c r="A70" s="824"/>
      <c r="B70" s="231"/>
      <c r="C70" s="207"/>
      <c r="D70" s="1450" t="s">
        <v>471</v>
      </c>
      <c r="E70" s="1450"/>
      <c r="F70" s="755">
        <f>+F68</f>
        <v>0</v>
      </c>
      <c r="G70" s="1373"/>
      <c r="H70" s="1373"/>
      <c r="I70" s="1373"/>
      <c r="J70" s="1373"/>
      <c r="K70" s="1373"/>
      <c r="L70" s="1373"/>
      <c r="M70" s="1373"/>
      <c r="N70" s="824"/>
      <c r="S70" s="163"/>
      <c r="T70" s="163"/>
      <c r="U70" s="163"/>
      <c r="V70" s="163"/>
      <c r="W70" s="163"/>
      <c r="X70" s="163"/>
      <c r="Y70" s="163"/>
      <c r="Z70" s="163"/>
    </row>
    <row r="71" spans="1:26" ht="16.5" customHeight="1" thickBot="1">
      <c r="A71" s="824"/>
      <c r="B71" s="1372"/>
      <c r="C71" s="1372"/>
      <c r="D71" s="1372"/>
      <c r="E71" s="1372"/>
      <c r="F71" s="1372"/>
      <c r="G71" s="1371"/>
      <c r="H71" s="1371"/>
      <c r="I71" s="1371"/>
      <c r="J71" s="1371"/>
      <c r="K71" s="1371"/>
      <c r="L71" s="1371"/>
      <c r="M71" s="1371"/>
      <c r="N71" s="824"/>
      <c r="S71" s="163"/>
      <c r="T71" s="163"/>
      <c r="U71" s="163"/>
      <c r="V71" s="163"/>
      <c r="W71" s="163"/>
      <c r="X71" s="163"/>
      <c r="Y71" s="163"/>
      <c r="Z71" s="163"/>
    </row>
    <row r="72" spans="1:26" ht="16.5" thickBot="1">
      <c r="A72" s="824"/>
      <c r="B72" s="1425" t="s">
        <v>484</v>
      </c>
      <c r="C72" s="1426"/>
      <c r="D72" s="1426"/>
      <c r="E72" s="1426"/>
      <c r="F72" s="1456"/>
      <c r="G72" s="1371"/>
      <c r="H72" s="1371"/>
      <c r="I72" s="1371"/>
      <c r="J72" s="1371"/>
      <c r="K72" s="1371"/>
      <c r="L72" s="1371"/>
      <c r="M72" s="1371"/>
      <c r="N72" s="824"/>
      <c r="S72" s="163"/>
      <c r="T72" s="473"/>
      <c r="U72" s="222"/>
      <c r="V72" s="222"/>
      <c r="W72" s="222"/>
      <c r="X72" s="222"/>
      <c r="Y72" s="221"/>
      <c r="Z72" s="221"/>
    </row>
    <row r="73" spans="1:26" ht="21" thickBot="1">
      <c r="A73" s="824"/>
      <c r="B73" s="302" t="s">
        <v>68</v>
      </c>
      <c r="C73" s="28"/>
      <c r="D73" s="28"/>
      <c r="E73" s="28"/>
      <c r="F73" s="859"/>
      <c r="G73" s="1452" t="s">
        <v>629</v>
      </c>
      <c r="H73" s="1452"/>
      <c r="I73" s="1452"/>
      <c r="J73" s="1452"/>
      <c r="K73" s="895" t="s">
        <v>488</v>
      </c>
      <c r="L73" s="1448">
        <f>'PLANILLA DE CALCULOS '!$K$174</f>
        <v>0</v>
      </c>
      <c r="M73" s="1449"/>
      <c r="N73" s="824"/>
      <c r="S73" s="163"/>
      <c r="T73" s="1447"/>
      <c r="U73" s="1447"/>
      <c r="V73" s="1447"/>
      <c r="W73" s="1447"/>
      <c r="X73" s="1447"/>
      <c r="Y73" s="221"/>
      <c r="Z73" s="221"/>
    </row>
    <row r="74" spans="1:26" ht="16.5" customHeight="1" thickBot="1">
      <c r="A74" s="824"/>
      <c r="B74" s="886"/>
      <c r="C74" s="168" t="s">
        <v>4</v>
      </c>
      <c r="D74" s="72"/>
      <c r="E74" s="786">
        <f>$L$42</f>
        <v>0</v>
      </c>
      <c r="F74" s="859"/>
      <c r="G74" s="1383" t="s">
        <v>489</v>
      </c>
      <c r="H74" s="1384"/>
      <c r="I74" s="1384"/>
      <c r="J74" s="1384"/>
      <c r="K74" s="1385"/>
      <c r="L74" s="1457" t="str">
        <f>'PLANILLA DE CALCULOS '!K175</f>
        <v>ERROR</v>
      </c>
      <c r="M74" s="1458"/>
      <c r="N74" s="824"/>
      <c r="S74" s="163"/>
      <c r="T74" s="229"/>
      <c r="U74" s="221"/>
      <c r="V74" s="221"/>
      <c r="W74" s="221"/>
      <c r="X74" s="221"/>
      <c r="Y74" s="221"/>
      <c r="Z74" s="221"/>
    </row>
    <row r="75" spans="1:26" ht="17.25" customHeight="1" thickBot="1">
      <c r="A75" s="824"/>
      <c r="B75" s="886"/>
      <c r="C75" s="838" t="s">
        <v>5</v>
      </c>
      <c r="D75" s="72"/>
      <c r="E75" s="45">
        <f>'PLANILLA DE CALCULOS '!I55</f>
        <v>0</v>
      </c>
      <c r="F75" s="881">
        <f>'PLANILLA DE CALCULOS '!K55</f>
        <v>0</v>
      </c>
      <c r="G75" s="1386"/>
      <c r="H75" s="1387"/>
      <c r="I75" s="1387"/>
      <c r="J75" s="1387"/>
      <c r="K75" s="1388"/>
      <c r="L75" s="1459"/>
      <c r="M75" s="1460"/>
      <c r="N75" s="824"/>
      <c r="S75" s="163"/>
      <c r="T75" s="221"/>
      <c r="U75" s="221"/>
      <c r="V75" s="221"/>
      <c r="W75" s="221"/>
      <c r="X75" s="221"/>
      <c r="Y75" s="221"/>
      <c r="Z75" s="221"/>
    </row>
    <row r="76" spans="1:26" ht="18" customHeight="1" thickBot="1">
      <c r="A76" s="824"/>
      <c r="B76" s="886"/>
      <c r="C76" s="648">
        <f>'PLANILLA DE CALCULOS '!$E$56</f>
        <v>0</v>
      </c>
      <c r="D76" s="838" t="s">
        <v>43</v>
      </c>
      <c r="E76" s="45">
        <f>'PLANILLA DE CALCULOS '!I56</f>
        <v>0</v>
      </c>
      <c r="F76" s="881">
        <f>'PLANILLA DE CALCULOS '!K56</f>
        <v>0</v>
      </c>
      <c r="G76" s="1461" t="s">
        <v>482</v>
      </c>
      <c r="H76" s="1461"/>
      <c r="I76" s="1461"/>
      <c r="J76" s="836">
        <f>'INGRESO DE DATOS'!$E$130</f>
        <v>1.1</v>
      </c>
      <c r="K76" s="836" t="s">
        <v>41</v>
      </c>
      <c r="L76" s="1462" t="e">
        <f>+L74/J76</f>
        <v>#VALUE!</v>
      </c>
      <c r="M76" s="1463"/>
      <c r="N76" s="824"/>
      <c r="S76" s="163"/>
      <c r="T76" s="221"/>
      <c r="U76" s="221"/>
      <c r="V76" s="221"/>
      <c r="W76" s="221"/>
      <c r="X76" s="221"/>
      <c r="Y76" s="221"/>
      <c r="Z76" s="221"/>
    </row>
    <row r="77" spans="1:26" ht="23.25" customHeight="1" thickBot="1">
      <c r="A77" s="824"/>
      <c r="B77" s="1451"/>
      <c r="C77" s="1358"/>
      <c r="D77" s="1358"/>
      <c r="E77" s="883" t="s">
        <v>476</v>
      </c>
      <c r="F77" s="755">
        <f>'PLANILLA DE CALCULOS '!K57</f>
        <v>0</v>
      </c>
      <c r="G77" s="1389" t="s">
        <v>9</v>
      </c>
      <c r="H77" s="1389"/>
      <c r="I77" s="1389"/>
      <c r="J77" s="464"/>
      <c r="K77" s="464"/>
      <c r="L77" s="1390">
        <f>'PLANILLA DE CALCULOS '!K171</f>
        <v>0</v>
      </c>
      <c r="M77" s="1391"/>
      <c r="N77" s="824"/>
      <c r="S77" s="163"/>
      <c r="T77" s="221"/>
      <c r="U77" s="221"/>
      <c r="V77" s="221"/>
      <c r="W77" s="221"/>
      <c r="X77" s="221"/>
      <c r="Y77" s="221"/>
      <c r="Z77" s="221"/>
    </row>
    <row r="78" spans="1:26" ht="13.5" customHeight="1" thickBot="1">
      <c r="A78" s="824"/>
      <c r="B78" s="1376"/>
      <c r="C78" s="1376"/>
      <c r="D78" s="1376"/>
      <c r="E78" s="1376"/>
      <c r="F78" s="1376"/>
      <c r="G78" s="893"/>
      <c r="H78" s="893"/>
      <c r="I78" s="1374"/>
      <c r="J78" s="1374"/>
      <c r="K78" s="1374"/>
      <c r="L78" s="1374"/>
      <c r="M78" s="1374"/>
      <c r="N78" s="824"/>
      <c r="U78" s="221"/>
      <c r="V78" s="221"/>
      <c r="W78" s="221"/>
      <c r="X78" s="221"/>
      <c r="Y78" s="221"/>
      <c r="Z78" s="221"/>
    </row>
    <row r="79" spans="1:26" ht="15.75" customHeight="1" thickBot="1">
      <c r="A79" s="824"/>
      <c r="B79" s="1453" t="s">
        <v>485</v>
      </c>
      <c r="C79" s="1454"/>
      <c r="D79" s="1454"/>
      <c r="E79" s="1454"/>
      <c r="F79" s="1455"/>
      <c r="G79" s="891"/>
      <c r="H79" s="891"/>
      <c r="I79" s="1374"/>
      <c r="J79" s="1374"/>
      <c r="K79" s="1374"/>
      <c r="L79" s="1374"/>
      <c r="M79" s="1374"/>
      <c r="N79" s="824"/>
      <c r="U79" s="163"/>
      <c r="V79" s="163"/>
      <c r="W79" s="163"/>
      <c r="X79" s="163"/>
      <c r="Y79" s="163"/>
      <c r="Z79" s="163"/>
    </row>
    <row r="80" spans="1:26" ht="15.75" customHeight="1">
      <c r="A80" s="824"/>
      <c r="B80" s="886"/>
      <c r="C80" s="50" t="s">
        <v>89</v>
      </c>
      <c r="D80" s="73" t="s">
        <v>93</v>
      </c>
      <c r="E80" s="29"/>
      <c r="F80" s="887">
        <f>'PLANILLA DE CALCULOS '!$K$120</f>
        <v>0</v>
      </c>
      <c r="G80" s="891"/>
      <c r="H80" s="891"/>
      <c r="I80" s="1374"/>
      <c r="J80" s="1374"/>
      <c r="K80" s="1374"/>
      <c r="L80" s="1374"/>
      <c r="M80" s="1374"/>
      <c r="N80" s="824"/>
      <c r="U80" s="163"/>
      <c r="V80" s="163"/>
      <c r="W80" s="163"/>
      <c r="X80" s="163"/>
      <c r="Y80" s="163"/>
      <c r="Z80" s="163"/>
    </row>
    <row r="81" spans="1:26" ht="18" customHeight="1">
      <c r="A81" s="824"/>
      <c r="B81" s="1395"/>
      <c r="C81" s="1396" t="s">
        <v>90</v>
      </c>
      <c r="D81" s="1353"/>
      <c r="E81" s="1353"/>
      <c r="F81" s="1359">
        <f>IF(F80=0,0,'PLANILLA DE CALCULOS '!K121)</f>
        <v>0</v>
      </c>
      <c r="G81" s="891"/>
      <c r="H81" s="891"/>
      <c r="I81" s="1374"/>
      <c r="J81" s="1374"/>
      <c r="K81" s="1374"/>
      <c r="L81" s="1374"/>
      <c r="M81" s="1374"/>
      <c r="N81" s="824"/>
      <c r="S81" s="163"/>
      <c r="T81" s="163"/>
      <c r="U81" s="163"/>
      <c r="V81" s="163"/>
      <c r="W81" s="163"/>
      <c r="X81" s="163"/>
      <c r="Y81" s="163"/>
      <c r="Z81" s="163"/>
    </row>
    <row r="82" spans="1:26" ht="21.75" customHeight="1" thickBot="1">
      <c r="A82" s="824"/>
      <c r="B82" s="1395"/>
      <c r="C82" s="1396"/>
      <c r="D82" s="1353"/>
      <c r="E82" s="1353"/>
      <c r="F82" s="1359"/>
      <c r="G82" s="891"/>
      <c r="H82" s="891"/>
      <c r="I82" s="1375"/>
      <c r="J82" s="1375"/>
      <c r="K82" s="1375"/>
      <c r="L82" s="1375"/>
      <c r="M82" s="1375"/>
      <c r="N82" s="824"/>
      <c r="S82" s="163"/>
      <c r="T82" s="163"/>
      <c r="U82" s="163"/>
      <c r="V82" s="163"/>
      <c r="W82" s="163"/>
      <c r="X82" s="163"/>
      <c r="Y82" s="163"/>
      <c r="Z82" s="163"/>
    </row>
    <row r="83" spans="1:26" ht="22.5" customHeight="1">
      <c r="A83" s="824"/>
      <c r="B83" s="886"/>
      <c r="C83" s="50" t="s">
        <v>91</v>
      </c>
      <c r="D83" s="72"/>
      <c r="E83" s="84">
        <f>'PLANILLA DE CALCULOS '!$G$122</f>
        <v>0</v>
      </c>
      <c r="F83" s="888"/>
      <c r="G83" s="891"/>
      <c r="H83" s="891"/>
      <c r="I83" s="1322" t="s">
        <v>487</v>
      </c>
      <c r="J83" s="1323"/>
      <c r="K83" s="1323"/>
      <c r="L83" s="1323"/>
      <c r="M83" s="1324"/>
      <c r="N83" s="824"/>
      <c r="S83" s="163"/>
      <c r="T83" s="163"/>
      <c r="U83" s="163"/>
      <c r="V83" s="163"/>
      <c r="W83" s="163"/>
      <c r="X83" s="163"/>
      <c r="Y83" s="163"/>
      <c r="Z83" s="163"/>
    </row>
    <row r="84" spans="1:26" ht="22.5" customHeight="1">
      <c r="A84" s="824"/>
      <c r="B84" s="886"/>
      <c r="C84" s="837" t="s">
        <v>92</v>
      </c>
      <c r="D84" s="72"/>
      <c r="E84" s="84">
        <f>'PLANILLA DE CALCULOS '!$G$123</f>
        <v>0</v>
      </c>
      <c r="F84" s="888">
        <f>'PLANILLA DE CALCULOS '!K123</f>
        <v>0</v>
      </c>
      <c r="G84" s="891"/>
      <c r="H84" s="891"/>
      <c r="I84" s="1325"/>
      <c r="J84" s="1326"/>
      <c r="K84" s="1326"/>
      <c r="L84" s="1326"/>
      <c r="M84" s="1327"/>
      <c r="N84" s="824"/>
      <c r="U84" s="163"/>
      <c r="V84" s="163"/>
      <c r="W84" s="163"/>
      <c r="X84" s="163"/>
      <c r="Y84" s="163"/>
      <c r="Z84" s="163"/>
    </row>
    <row r="85" spans="1:26" ht="19.5" customHeight="1" thickBot="1">
      <c r="A85" s="824"/>
      <c r="B85" s="886"/>
      <c r="C85" s="649">
        <f>'PLANILLA DE CALCULOS '!$F$124</f>
        <v>0</v>
      </c>
      <c r="D85" s="837" t="s">
        <v>94</v>
      </c>
      <c r="E85" s="84">
        <f>'PLANILLA DE CALCULOS '!$G$124</f>
        <v>0</v>
      </c>
      <c r="F85" s="888">
        <f>'PLANILLA DE CALCULOS '!K124</f>
        <v>0</v>
      </c>
      <c r="G85" s="891"/>
      <c r="H85" s="891"/>
      <c r="I85" s="1325"/>
      <c r="J85" s="1326"/>
      <c r="K85" s="1326"/>
      <c r="L85" s="1326"/>
      <c r="M85" s="1327"/>
      <c r="N85" s="824"/>
      <c r="U85" s="163"/>
      <c r="V85" s="163"/>
      <c r="W85" s="163"/>
      <c r="X85" s="163"/>
      <c r="Y85" s="163"/>
      <c r="Z85" s="163"/>
    </row>
    <row r="86" spans="1:26" ht="22.5" customHeight="1" thickBot="1">
      <c r="A86" s="824"/>
      <c r="B86" s="882"/>
      <c r="C86" s="861"/>
      <c r="D86" s="861"/>
      <c r="E86" s="889" t="s">
        <v>475</v>
      </c>
      <c r="F86" s="766">
        <f>'PLANILLA DE CALCULOS '!K125</f>
        <v>0</v>
      </c>
      <c r="G86" s="891"/>
      <c r="H86" s="891"/>
      <c r="I86" s="1325"/>
      <c r="J86" s="1326"/>
      <c r="K86" s="1326"/>
      <c r="L86" s="1326"/>
      <c r="M86" s="1327"/>
      <c r="N86" s="824"/>
      <c r="U86" s="218"/>
      <c r="V86" s="218"/>
      <c r="W86" s="163"/>
      <c r="X86" s="163"/>
      <c r="Y86" s="163"/>
      <c r="Z86" s="163"/>
    </row>
    <row r="87" spans="1:26" ht="22.5" customHeight="1" thickBot="1">
      <c r="A87" s="824"/>
      <c r="B87" s="890"/>
      <c r="C87" s="891"/>
      <c r="D87" s="891"/>
      <c r="E87" s="891"/>
      <c r="F87" s="891"/>
      <c r="G87" s="891"/>
      <c r="H87" s="891"/>
      <c r="I87" s="1328"/>
      <c r="J87" s="1329"/>
      <c r="K87" s="1329"/>
      <c r="L87" s="1329"/>
      <c r="M87" s="1330"/>
      <c r="N87" s="824"/>
      <c r="U87" s="218"/>
      <c r="V87" s="218"/>
      <c r="W87" s="163"/>
      <c r="X87" s="163"/>
      <c r="Y87" s="163"/>
      <c r="Z87" s="163"/>
    </row>
    <row r="88" spans="1:26" ht="22.5" customHeight="1" thickBot="1">
      <c r="A88" s="824"/>
      <c r="B88" s="1309" t="s">
        <v>486</v>
      </c>
      <c r="C88" s="1310"/>
      <c r="D88" s="1310"/>
      <c r="E88" s="1310"/>
      <c r="F88" s="1310"/>
      <c r="G88" s="1311"/>
      <c r="H88" s="891"/>
      <c r="I88" s="1331"/>
      <c r="J88" s="1331"/>
      <c r="K88" s="1331"/>
      <c r="L88" s="1331"/>
      <c r="M88" s="1331"/>
      <c r="N88" s="824"/>
      <c r="U88" s="163"/>
      <c r="V88" s="163"/>
      <c r="W88" s="163"/>
      <c r="X88" s="163"/>
      <c r="Y88" s="163"/>
      <c r="Z88" s="163"/>
    </row>
    <row r="89" spans="1:14" ht="13.5" customHeight="1">
      <c r="A89" s="824"/>
      <c r="B89" s="1312">
        <f>'INGRESO DE DATOS'!$D$54</f>
        <v>0</v>
      </c>
      <c r="C89" s="1313"/>
      <c r="D89" s="1313"/>
      <c r="E89" s="1313"/>
      <c r="F89" s="1313"/>
      <c r="G89" s="1314"/>
      <c r="H89" s="1392"/>
      <c r="I89" s="1020"/>
      <c r="J89" s="1332"/>
      <c r="K89" s="1332"/>
      <c r="L89" s="1332"/>
      <c r="M89" s="1021"/>
      <c r="N89" s="824"/>
    </row>
    <row r="90" spans="1:14" ht="89.25" customHeight="1">
      <c r="A90" s="824"/>
      <c r="B90" s="1312"/>
      <c r="C90" s="1313"/>
      <c r="D90" s="1313"/>
      <c r="E90" s="1313"/>
      <c r="F90" s="1313"/>
      <c r="G90" s="1314"/>
      <c r="H90" s="1392"/>
      <c r="I90" s="1333"/>
      <c r="J90" s="1334"/>
      <c r="K90" s="1334"/>
      <c r="L90" s="1334"/>
      <c r="M90" s="1335"/>
      <c r="N90" s="824"/>
    </row>
    <row r="91" spans="1:14" ht="14.25" customHeight="1" thickBot="1">
      <c r="A91" s="824"/>
      <c r="B91" s="1315"/>
      <c r="C91" s="1316"/>
      <c r="D91" s="1316"/>
      <c r="E91" s="1316"/>
      <c r="F91" s="1316"/>
      <c r="G91" s="1317"/>
      <c r="H91" s="1392"/>
      <c r="I91" s="1333"/>
      <c r="J91" s="1334"/>
      <c r="K91" s="1334"/>
      <c r="L91" s="1334"/>
      <c r="M91" s="1335"/>
      <c r="N91" s="824"/>
    </row>
    <row r="92" spans="1:14" ht="12.75">
      <c r="A92" s="824"/>
      <c r="B92" s="892"/>
      <c r="C92" s="892"/>
      <c r="D92" s="892"/>
      <c r="E92" s="892"/>
      <c r="F92" s="892"/>
      <c r="G92" s="892"/>
      <c r="H92" s="1392"/>
      <c r="I92" s="1333"/>
      <c r="J92" s="1334"/>
      <c r="K92" s="1334"/>
      <c r="L92" s="1334"/>
      <c r="M92" s="1335"/>
      <c r="N92" s="824"/>
    </row>
    <row r="93" spans="1:14" ht="12.75">
      <c r="A93" s="824"/>
      <c r="B93" s="892"/>
      <c r="C93" s="892"/>
      <c r="D93" s="892"/>
      <c r="E93" s="892"/>
      <c r="F93" s="892"/>
      <c r="G93" s="892"/>
      <c r="H93" s="1392"/>
      <c r="I93" s="1333"/>
      <c r="J93" s="1334"/>
      <c r="K93" s="1334"/>
      <c r="L93" s="1334"/>
      <c r="M93" s="1335"/>
      <c r="N93" s="824"/>
    </row>
    <row r="94" spans="1:14" ht="15" customHeight="1">
      <c r="A94" s="824"/>
      <c r="B94" s="892"/>
      <c r="C94" s="892"/>
      <c r="D94" s="892"/>
      <c r="E94" s="892"/>
      <c r="F94" s="892"/>
      <c r="G94" s="892"/>
      <c r="H94" s="1392"/>
      <c r="I94" s="1333"/>
      <c r="J94" s="1334"/>
      <c r="K94" s="1334"/>
      <c r="L94" s="1334"/>
      <c r="M94" s="1335"/>
      <c r="N94" s="824"/>
    </row>
    <row r="95" spans="1:17" ht="15" customHeight="1">
      <c r="A95" s="824"/>
      <c r="B95" s="892"/>
      <c r="C95" s="892"/>
      <c r="D95" s="892"/>
      <c r="E95" s="892"/>
      <c r="F95" s="892"/>
      <c r="G95" s="892"/>
      <c r="H95" s="1392"/>
      <c r="I95" s="1333"/>
      <c r="J95" s="1334"/>
      <c r="K95" s="1334"/>
      <c r="L95" s="1334"/>
      <c r="M95" s="1335"/>
      <c r="N95" s="824"/>
      <c r="Q95" s="3"/>
    </row>
    <row r="96" spans="1:14" ht="15" customHeight="1">
      <c r="A96" s="824"/>
      <c r="B96" s="1339"/>
      <c r="C96" s="1339"/>
      <c r="D96" s="1339"/>
      <c r="E96" s="1339"/>
      <c r="F96" s="1339"/>
      <c r="G96" s="1339"/>
      <c r="H96" s="1392"/>
      <c r="I96" s="1333"/>
      <c r="J96" s="1334"/>
      <c r="K96" s="1334"/>
      <c r="L96" s="1334"/>
      <c r="M96" s="1335"/>
      <c r="N96" s="824"/>
    </row>
    <row r="97" spans="1:14" ht="11.25" customHeight="1">
      <c r="A97" s="824"/>
      <c r="B97" s="471"/>
      <c r="C97" s="471"/>
      <c r="D97" s="471"/>
      <c r="G97" s="471"/>
      <c r="H97" s="1392"/>
      <c r="I97" s="1333"/>
      <c r="J97" s="1334"/>
      <c r="K97" s="1334"/>
      <c r="L97" s="1334"/>
      <c r="M97" s="1335"/>
      <c r="N97" s="824"/>
    </row>
    <row r="98" spans="1:14" ht="15.75" customHeight="1">
      <c r="A98" s="824"/>
      <c r="E98" s="21" t="s">
        <v>44</v>
      </c>
      <c r="H98" s="1392"/>
      <c r="I98" s="1333"/>
      <c r="J98" s="1334"/>
      <c r="K98" s="1334"/>
      <c r="L98" s="1334"/>
      <c r="M98" s="1335"/>
      <c r="N98" s="824"/>
    </row>
    <row r="99" spans="1:14" ht="15.75" customHeight="1">
      <c r="A99" s="824"/>
      <c r="B99" s="29"/>
      <c r="C99" s="29"/>
      <c r="E99" s="753" t="s">
        <v>13</v>
      </c>
      <c r="H99" s="1392"/>
      <c r="I99" s="1333"/>
      <c r="J99" s="1334"/>
      <c r="K99" s="1334"/>
      <c r="L99" s="1334"/>
      <c r="M99" s="1335"/>
      <c r="N99" s="824"/>
    </row>
    <row r="100" spans="1:14" ht="15.75" customHeight="1">
      <c r="A100" s="824"/>
      <c r="E100" s="752" t="str">
        <f>'INGRESO DE DATOS'!$G$16</f>
        <v>#</v>
      </c>
      <c r="F100" s="97"/>
      <c r="H100" s="1392"/>
      <c r="I100" s="1333"/>
      <c r="J100" s="1334"/>
      <c r="K100" s="1334"/>
      <c r="L100" s="1334"/>
      <c r="M100" s="1335"/>
      <c r="N100" s="824"/>
    </row>
    <row r="101" spans="1:14" ht="12.75">
      <c r="A101" s="824"/>
      <c r="E101" s="752" t="str">
        <f>'INGRESO DE DATOS'!$G$21</f>
        <v>#</v>
      </c>
      <c r="F101" s="230"/>
      <c r="G101" s="72"/>
      <c r="H101" s="1392"/>
      <c r="I101" s="1333"/>
      <c r="J101" s="1334"/>
      <c r="K101" s="1334"/>
      <c r="L101" s="1334"/>
      <c r="M101" s="1335"/>
      <c r="N101" s="824"/>
    </row>
    <row r="102" spans="1:14" ht="12.75">
      <c r="A102" s="824"/>
      <c r="E102" s="752" t="str">
        <f>'INGRESO DE DATOS'!$G$19</f>
        <v>#</v>
      </c>
      <c r="F102" s="230"/>
      <c r="G102" s="72"/>
      <c r="H102" s="1392"/>
      <c r="I102" s="1333"/>
      <c r="J102" s="1334"/>
      <c r="K102" s="1334"/>
      <c r="L102" s="1334"/>
      <c r="M102" s="1335"/>
      <c r="N102" s="824"/>
    </row>
    <row r="103" spans="1:14" ht="6" customHeight="1" thickBot="1">
      <c r="A103" s="824"/>
      <c r="F103" s="230"/>
      <c r="G103" s="72"/>
      <c r="H103" s="1392"/>
      <c r="I103" s="1336"/>
      <c r="J103" s="1337"/>
      <c r="K103" s="1337"/>
      <c r="L103" s="1337"/>
      <c r="M103" s="1338"/>
      <c r="N103" s="824"/>
    </row>
    <row r="104" spans="1:14" ht="12.75">
      <c r="A104" s="824"/>
      <c r="B104" s="1371"/>
      <c r="C104" s="1371"/>
      <c r="D104" s="1371"/>
      <c r="E104" s="1371"/>
      <c r="F104" s="1371"/>
      <c r="G104" s="1371"/>
      <c r="H104" s="1371"/>
      <c r="I104" s="1371"/>
      <c r="J104" s="1371"/>
      <c r="K104" s="1371"/>
      <c r="L104" s="1371"/>
      <c r="M104" s="1371"/>
      <c r="N104" s="1371"/>
    </row>
    <row r="105" spans="6:13" ht="12.75">
      <c r="F105" s="19"/>
      <c r="G105" s="72"/>
      <c r="H105" s="409"/>
      <c r="I105" s="409"/>
      <c r="J105" s="409"/>
      <c r="K105" s="409"/>
      <c r="L105" s="409"/>
      <c r="M105" s="409"/>
    </row>
    <row r="106" spans="6:14" ht="12.75">
      <c r="F106" s="19"/>
      <c r="G106" s="72"/>
      <c r="H106" s="409"/>
      <c r="I106" s="409"/>
      <c r="J106" s="409"/>
      <c r="K106" s="409"/>
      <c r="L106" s="409"/>
      <c r="M106" s="409"/>
      <c r="N106" s="19"/>
    </row>
    <row r="107" spans="7:14" ht="12.75">
      <c r="G107" s="72"/>
      <c r="H107" s="409"/>
      <c r="I107" s="409"/>
      <c r="J107" s="409"/>
      <c r="K107" s="409"/>
      <c r="L107" s="409"/>
      <c r="M107" s="409"/>
      <c r="N107" s="19"/>
    </row>
    <row r="108" spans="7:13" ht="12.75">
      <c r="G108" s="72"/>
      <c r="H108" s="72"/>
      <c r="I108" s="163"/>
      <c r="J108" s="163"/>
      <c r="K108" s="163"/>
      <c r="L108" s="163"/>
      <c r="M108" s="72"/>
    </row>
    <row r="109" spans="7:13" ht="12.75">
      <c r="G109" s="72"/>
      <c r="H109" s="72"/>
      <c r="I109" s="163"/>
      <c r="J109" s="163"/>
      <c r="K109" s="163"/>
      <c r="L109" s="163"/>
      <c r="M109" s="72"/>
    </row>
    <row r="110" spans="7:13" ht="12.75">
      <c r="G110" s="72"/>
      <c r="H110" s="72"/>
      <c r="I110" s="163"/>
      <c r="J110" s="163"/>
      <c r="K110" s="163"/>
      <c r="L110" s="163"/>
      <c r="M110" s="72"/>
    </row>
    <row r="111" spans="7:13" ht="12.75">
      <c r="G111" s="364"/>
      <c r="H111" s="364"/>
      <c r="I111" s="163"/>
      <c r="J111" s="163"/>
      <c r="K111" s="163"/>
      <c r="L111" s="163"/>
      <c r="M111" s="163"/>
    </row>
    <row r="112" spans="7:13" ht="12.75">
      <c r="G112" s="340"/>
      <c r="H112" s="340"/>
      <c r="I112" s="72"/>
      <c r="J112" s="72"/>
      <c r="K112" s="72"/>
      <c r="L112" s="72"/>
      <c r="M112" s="163"/>
    </row>
    <row r="113" spans="7:21" ht="12.75">
      <c r="G113" s="340"/>
      <c r="H113" s="340"/>
      <c r="I113" s="163"/>
      <c r="J113" s="163"/>
      <c r="K113" s="163"/>
      <c r="L113" s="163"/>
      <c r="M113" s="163"/>
      <c r="R113" s="72"/>
      <c r="S113" s="72"/>
      <c r="T113" s="72"/>
      <c r="U113" s="72"/>
    </row>
    <row r="114" spans="7:21" ht="12.75">
      <c r="G114" s="341"/>
      <c r="H114" s="341"/>
      <c r="I114" s="163"/>
      <c r="J114" s="163"/>
      <c r="K114" s="163"/>
      <c r="L114" s="163"/>
      <c r="M114" s="163"/>
      <c r="R114" s="72"/>
      <c r="S114" s="72"/>
      <c r="T114" s="72"/>
      <c r="U114" s="72"/>
    </row>
    <row r="115" spans="7:21" ht="12.75">
      <c r="G115" s="163"/>
      <c r="H115" s="163"/>
      <c r="I115" s="163"/>
      <c r="J115" s="163"/>
      <c r="K115" s="163"/>
      <c r="L115" s="163"/>
      <c r="M115" s="163"/>
      <c r="R115" s="72"/>
      <c r="S115" s="72"/>
      <c r="T115" s="72"/>
      <c r="U115" s="72"/>
    </row>
    <row r="116" spans="7:21" ht="12.75">
      <c r="G116" s="163"/>
      <c r="H116" s="163"/>
      <c r="I116" s="163"/>
      <c r="J116" s="163"/>
      <c r="K116" s="163"/>
      <c r="L116" s="163"/>
      <c r="M116" s="163"/>
      <c r="R116" s="72"/>
      <c r="S116" s="72"/>
      <c r="T116" s="72"/>
      <c r="U116" s="72"/>
    </row>
    <row r="117" spans="18:21" ht="12.75">
      <c r="R117" s="72"/>
      <c r="S117" s="72"/>
      <c r="T117" s="72"/>
      <c r="U117" s="72"/>
    </row>
    <row r="118" spans="18:21" ht="12.75">
      <c r="R118" s="72"/>
      <c r="S118" s="72"/>
      <c r="T118" s="72"/>
      <c r="U118" s="72"/>
    </row>
    <row r="119" spans="18:21" ht="12.75">
      <c r="R119" s="72"/>
      <c r="S119" s="72"/>
      <c r="T119" s="72"/>
      <c r="U119" s="72"/>
    </row>
    <row r="120" spans="18:21" ht="12.75">
      <c r="R120" s="72"/>
      <c r="S120" s="72"/>
      <c r="T120" s="72"/>
      <c r="U120" s="72"/>
    </row>
    <row r="121" spans="18:21" ht="12.75">
      <c r="R121" s="72"/>
      <c r="S121" s="72"/>
      <c r="T121" s="72"/>
      <c r="U121" s="72"/>
    </row>
    <row r="122" spans="18:21" ht="12.75">
      <c r="R122" s="72"/>
      <c r="S122" s="72"/>
      <c r="T122" s="72"/>
      <c r="U122" s="72"/>
    </row>
    <row r="123" spans="18:21" ht="12.75">
      <c r="R123" s="72"/>
      <c r="S123" s="72"/>
      <c r="T123" s="72"/>
      <c r="U123" s="72"/>
    </row>
    <row r="124" spans="18:21" ht="12.75">
      <c r="R124" s="72"/>
      <c r="S124" s="72"/>
      <c r="T124" s="72"/>
      <c r="U124" s="72"/>
    </row>
    <row r="125" spans="18:21" ht="12.75">
      <c r="R125" s="72"/>
      <c r="S125" s="72"/>
      <c r="T125" s="72"/>
      <c r="U125" s="72"/>
    </row>
    <row r="126" spans="18:21" ht="12.75">
      <c r="R126" s="72"/>
      <c r="S126" s="72"/>
      <c r="T126" s="72"/>
      <c r="U126" s="72"/>
    </row>
  </sheetData>
  <sheetProtection password="CEAE" sheet="1" scenarios="1"/>
  <mergeCells count="133">
    <mergeCell ref="B77:D77"/>
    <mergeCell ref="G73:J73"/>
    <mergeCell ref="B79:F79"/>
    <mergeCell ref="B72:F72"/>
    <mergeCell ref="L74:M75"/>
    <mergeCell ref="G76:I76"/>
    <mergeCell ref="L76:M76"/>
    <mergeCell ref="L33:M33"/>
    <mergeCell ref="L35:M35"/>
    <mergeCell ref="T73:X73"/>
    <mergeCell ref="L73:M73"/>
    <mergeCell ref="D70:E70"/>
    <mergeCell ref="C35:D35"/>
    <mergeCell ref="C37:D37"/>
    <mergeCell ref="G33:I33"/>
    <mergeCell ref="G39:I39"/>
    <mergeCell ref="L38:M38"/>
    <mergeCell ref="C16:D16"/>
    <mergeCell ref="C17:D17"/>
    <mergeCell ref="F9:M9"/>
    <mergeCell ref="B26:K26"/>
    <mergeCell ref="L23:M23"/>
    <mergeCell ref="L32:M32"/>
    <mergeCell ref="L17:M17"/>
    <mergeCell ref="G16:I16"/>
    <mergeCell ref="L28:M28"/>
    <mergeCell ref="B27:K27"/>
    <mergeCell ref="B46:F46"/>
    <mergeCell ref="L4:M4"/>
    <mergeCell ref="I6:K6"/>
    <mergeCell ref="J4:K4"/>
    <mergeCell ref="B9:E9"/>
    <mergeCell ref="G5:H5"/>
    <mergeCell ref="K5:M5"/>
    <mergeCell ref="B5:E5"/>
    <mergeCell ref="D6:G6"/>
    <mergeCell ref="B6:C6"/>
    <mergeCell ref="C38:D38"/>
    <mergeCell ref="B41:K41"/>
    <mergeCell ref="C39:D39"/>
    <mergeCell ref="L31:M31"/>
    <mergeCell ref="G3:L3"/>
    <mergeCell ref="B3:C3"/>
    <mergeCell ref="D3:E3"/>
    <mergeCell ref="B10:M10"/>
    <mergeCell ref="G20:I20"/>
    <mergeCell ref="G19:I19"/>
    <mergeCell ref="C34:D34"/>
    <mergeCell ref="G34:I34"/>
    <mergeCell ref="L37:M37"/>
    <mergeCell ref="L36:M36"/>
    <mergeCell ref="C31:D31"/>
    <mergeCell ref="L41:M41"/>
    <mergeCell ref="B40:K40"/>
    <mergeCell ref="C32:D32"/>
    <mergeCell ref="C33:D33"/>
    <mergeCell ref="C36:D36"/>
    <mergeCell ref="L39:M39"/>
    <mergeCell ref="G38:I38"/>
    <mergeCell ref="L21:M21"/>
    <mergeCell ref="L20:M20"/>
    <mergeCell ref="B23:K23"/>
    <mergeCell ref="L25:M25"/>
    <mergeCell ref="L22:M22"/>
    <mergeCell ref="G22:I22"/>
    <mergeCell ref="G21:I21"/>
    <mergeCell ref="B25:D25"/>
    <mergeCell ref="B43:M43"/>
    <mergeCell ref="G74:K75"/>
    <mergeCell ref="G77:I77"/>
    <mergeCell ref="L77:M77"/>
    <mergeCell ref="H89:H103"/>
    <mergeCell ref="L40:M40"/>
    <mergeCell ref="B81:B82"/>
    <mergeCell ref="C81:C82"/>
    <mergeCell ref="L42:M42"/>
    <mergeCell ref="B42:K42"/>
    <mergeCell ref="B104:N104"/>
    <mergeCell ref="B1:M1"/>
    <mergeCell ref="B71:F71"/>
    <mergeCell ref="G70:M72"/>
    <mergeCell ref="I78:M82"/>
    <mergeCell ref="B78:F78"/>
    <mergeCell ref="B2:M2"/>
    <mergeCell ref="I5:J5"/>
    <mergeCell ref="L15:M15"/>
    <mergeCell ref="L14:M14"/>
    <mergeCell ref="B24:K24"/>
    <mergeCell ref="C20:D20"/>
    <mergeCell ref="B28:K28"/>
    <mergeCell ref="C21:D21"/>
    <mergeCell ref="C22:D22"/>
    <mergeCell ref="G18:I18"/>
    <mergeCell ref="C4:H4"/>
    <mergeCell ref="B58:C58"/>
    <mergeCell ref="B50:D50"/>
    <mergeCell ref="E81:E82"/>
    <mergeCell ref="F81:F82"/>
    <mergeCell ref="L26:M26"/>
    <mergeCell ref="G17:I17"/>
    <mergeCell ref="L34:M34"/>
    <mergeCell ref="H25:I25"/>
    <mergeCell ref="C13:D13"/>
    <mergeCell ref="B11:M11"/>
    <mergeCell ref="C19:D19"/>
    <mergeCell ref="L13:M13"/>
    <mergeCell ref="L24:M24"/>
    <mergeCell ref="L19:M19"/>
    <mergeCell ref="D81:D82"/>
    <mergeCell ref="L18:M18"/>
    <mergeCell ref="L16:M16"/>
    <mergeCell ref="C14:D14"/>
    <mergeCell ref="C15:D15"/>
    <mergeCell ref="G14:I14"/>
    <mergeCell ref="G15:I15"/>
    <mergeCell ref="G37:I37"/>
    <mergeCell ref="G35:I35"/>
    <mergeCell ref="G32:I32"/>
    <mergeCell ref="G36:I36"/>
    <mergeCell ref="B29:M29"/>
    <mergeCell ref="L27:M27"/>
    <mergeCell ref="B30:M30"/>
    <mergeCell ref="G31:I31"/>
    <mergeCell ref="B88:G88"/>
    <mergeCell ref="B89:G91"/>
    <mergeCell ref="B7:E8"/>
    <mergeCell ref="I83:M87"/>
    <mergeCell ref="I88:M88"/>
    <mergeCell ref="I89:M103"/>
    <mergeCell ref="B96:G96"/>
    <mergeCell ref="C18:D18"/>
    <mergeCell ref="B12:M12"/>
    <mergeCell ref="G13:I13"/>
  </mergeCells>
  <printOptions horizontalCentered="1"/>
  <pageMargins left="0" right="0.7480314960629921" top="0.5118110236220472" bottom="0" header="0.15748031496062992" footer="0"/>
  <pageSetup fitToHeight="1" fitToWidth="1"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G209"/>
  <sheetViews>
    <sheetView zoomScale="115" zoomScaleNormal="115" zoomScalePageLayoutView="0" workbookViewId="0" topLeftCell="A7">
      <selection activeCell="L14" sqref="L14"/>
    </sheetView>
  </sheetViews>
  <sheetFormatPr defaultColWidth="11.421875" defaultRowHeight="12.75"/>
  <cols>
    <col min="1" max="1" width="1.7109375" style="3" customWidth="1"/>
    <col min="2" max="2" width="19.7109375" style="3" customWidth="1"/>
    <col min="3" max="3" width="19.57421875" style="3" customWidth="1"/>
    <col min="4" max="4" width="17.7109375" style="3" customWidth="1"/>
    <col min="5" max="5" width="8.28125" style="3" customWidth="1"/>
    <col min="6" max="6" width="9.00390625" style="3" customWidth="1"/>
    <col min="7" max="7" width="11.140625" style="3" customWidth="1"/>
    <col min="8" max="8" width="12.28125" style="3" customWidth="1"/>
    <col min="9" max="9" width="18.28125" style="3" customWidth="1"/>
    <col min="10" max="10" width="21.57421875" style="3" customWidth="1"/>
    <col min="11" max="11" width="15.8515625" style="37" customWidth="1"/>
    <col min="12" max="12" width="11.421875" style="3" customWidth="1"/>
    <col min="13" max="13" width="10.00390625" style="0" customWidth="1"/>
    <col min="14" max="14" width="14.28125" style="37" customWidth="1"/>
    <col min="15" max="15" width="11.140625" style="165" hidden="1" customWidth="1"/>
    <col min="16" max="16" width="11.421875" style="37" hidden="1" customWidth="1"/>
    <col min="17" max="17" width="14.28125" style="37" hidden="1" customWidth="1"/>
    <col min="18" max="18" width="11.421875" style="37" hidden="1" customWidth="1"/>
    <col min="19" max="19" width="11.421875" style="3" hidden="1" customWidth="1"/>
    <col min="20" max="20" width="15.140625" style="3" hidden="1" customWidth="1"/>
    <col min="21" max="21" width="11.8515625" style="3" hidden="1" customWidth="1"/>
    <col min="22" max="23" width="11.421875" style="3" hidden="1" customWidth="1"/>
    <col min="24" max="24" width="8.28125" style="3" hidden="1" customWidth="1"/>
    <col min="25" max="46" width="11.421875" style="3" hidden="1" customWidth="1"/>
    <col min="47" max="81" width="11.421875" style="3" customWidth="1"/>
    <col min="82" max="16384" width="11.421875" style="3" customWidth="1"/>
  </cols>
  <sheetData>
    <row r="1" spans="2:43" ht="18" customHeight="1">
      <c r="B1" s="1"/>
      <c r="C1" s="1"/>
      <c r="D1" s="1"/>
      <c r="E1" s="848" t="s">
        <v>14</v>
      </c>
      <c r="F1" s="1"/>
      <c r="G1" s="1"/>
      <c r="H1" s="1"/>
      <c r="I1" s="1"/>
      <c r="J1" s="1"/>
      <c r="K1" s="6"/>
      <c r="O1" s="385"/>
      <c r="P1" s="385"/>
      <c r="Q1" s="385"/>
      <c r="R1" s="385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</row>
    <row r="2" spans="2:11" ht="14.25" customHeight="1">
      <c r="B2" s="1"/>
      <c r="C2" s="1"/>
      <c r="D2" s="1"/>
      <c r="E2" s="2"/>
      <c r="F2" s="1"/>
      <c r="G2" s="1"/>
      <c r="H2" s="1"/>
      <c r="I2" s="1"/>
      <c r="J2" s="1"/>
      <c r="K2" s="6"/>
    </row>
    <row r="3" spans="2:20" ht="14.25" customHeight="1">
      <c r="B3" s="16"/>
      <c r="C3" s="16"/>
      <c r="D3" s="16"/>
      <c r="E3" s="16"/>
      <c r="F3" s="5"/>
      <c r="G3" s="5"/>
      <c r="H3" s="5"/>
      <c r="I3" s="42"/>
      <c r="J3" s="1"/>
      <c r="K3" s="6"/>
      <c r="S3" s="37"/>
      <c r="T3" s="37"/>
    </row>
    <row r="4" spans="2:20" ht="14.25" customHeight="1">
      <c r="B4" s="4"/>
      <c r="C4" s="4"/>
      <c r="D4" s="4"/>
      <c r="E4" s="4"/>
      <c r="F4" s="4"/>
      <c r="G4" s="4"/>
      <c r="H4" s="5"/>
      <c r="I4" s="68"/>
      <c r="J4" s="1"/>
      <c r="K4" s="6"/>
      <c r="R4" s="3" t="str">
        <f>'INGRESO DE DATOS'!Q93</f>
        <v>m2 Cub.</v>
      </c>
      <c r="T4" s="37">
        <v>1</v>
      </c>
    </row>
    <row r="5" spans="2:20" ht="14.25" customHeight="1">
      <c r="B5" s="4"/>
      <c r="C5" s="4"/>
      <c r="D5" s="4"/>
      <c r="E5" s="4"/>
      <c r="F5" s="4"/>
      <c r="G5" s="4"/>
      <c r="H5" s="5"/>
      <c r="I5" s="68"/>
      <c r="J5" s="1"/>
      <c r="K5" s="6"/>
      <c r="R5" s="3" t="str">
        <f>'INGRESO DE DATOS'!Q94</f>
        <v>m2 Semicub.</v>
      </c>
      <c r="T5" s="37">
        <v>0.5</v>
      </c>
    </row>
    <row r="6" spans="2:20" ht="14.25" customHeight="1">
      <c r="B6" s="4"/>
      <c r="C6" s="4"/>
      <c r="D6" s="4"/>
      <c r="E6" s="4"/>
      <c r="F6" s="4"/>
      <c r="G6" s="4"/>
      <c r="H6" s="5"/>
      <c r="I6" s="68"/>
      <c r="J6" s="1"/>
      <c r="K6" s="6"/>
      <c r="R6" s="69" t="str">
        <f>'INGRESO DE DATOS'!Q95</f>
        <v>m2 a Demoler</v>
      </c>
      <c r="T6" s="37">
        <f>0.16*0.3</f>
        <v>0.048</v>
      </c>
    </row>
    <row r="7" spans="2:20" ht="14.25" customHeight="1">
      <c r="B7" s="1"/>
      <c r="C7" s="1"/>
      <c r="D7" s="1"/>
      <c r="E7" s="1"/>
      <c r="F7" s="1"/>
      <c r="G7" s="1"/>
      <c r="H7" s="1"/>
      <c r="I7" s="1"/>
      <c r="J7" s="1"/>
      <c r="K7" s="6"/>
      <c r="R7" s="3" t="str">
        <f>'INGRESO DE DATOS'!Q96</f>
        <v>m2 C. Techo 30% </v>
      </c>
      <c r="T7" s="37">
        <v>0.3</v>
      </c>
    </row>
    <row r="8" spans="2:20" ht="16.5" customHeight="1">
      <c r="B8" s="2" t="s">
        <v>98</v>
      </c>
      <c r="C8" s="24"/>
      <c r="D8" s="24"/>
      <c r="E8" s="24"/>
      <c r="F8" s="25"/>
      <c r="G8" s="26"/>
      <c r="H8" s="2"/>
      <c r="I8" s="7" t="s">
        <v>8</v>
      </c>
      <c r="J8" s="20"/>
      <c r="K8" s="36"/>
      <c r="R8" s="3" t="str">
        <f>'INGRESO DE DATOS'!Q97</f>
        <v>m2 M. Interna 50% </v>
      </c>
      <c r="T8" s="37">
        <v>0.5</v>
      </c>
    </row>
    <row r="9" spans="2:20" ht="16.5" customHeight="1">
      <c r="B9" s="103" t="s">
        <v>99</v>
      </c>
      <c r="C9" s="98"/>
      <c r="D9" s="98"/>
      <c r="E9" s="98"/>
      <c r="F9" s="99"/>
      <c r="G9" s="100"/>
      <c r="H9" s="18"/>
      <c r="I9" s="101">
        <f>'INGRESO DE DATOS'!$F$118</f>
        <v>0</v>
      </c>
      <c r="J9" s="1"/>
      <c r="K9" s="6"/>
      <c r="R9" s="363" t="str">
        <f>'INGRESO DE DATOS'!Q98</f>
        <v>m2 Espejo de Agua</v>
      </c>
      <c r="S9" s="37"/>
      <c r="T9" s="37">
        <v>1</v>
      </c>
    </row>
    <row r="10" spans="10:20" ht="16.5" customHeight="1">
      <c r="J10" s="1"/>
      <c r="K10" s="6"/>
      <c r="R10" s="3" t="s">
        <v>680</v>
      </c>
      <c r="T10" s="37">
        <v>0</v>
      </c>
    </row>
    <row r="11" spans="2:20" ht="16.5" customHeight="1">
      <c r="B11" s="181" t="s">
        <v>293</v>
      </c>
      <c r="C11" s="18"/>
      <c r="D11" s="18"/>
      <c r="E11" s="18"/>
      <c r="F11" s="18"/>
      <c r="G11" s="18"/>
      <c r="H11" s="18"/>
      <c r="I11" s="18"/>
      <c r="J11" s="18"/>
      <c r="K11" s="806"/>
      <c r="S11" s="37"/>
      <c r="T11" s="37"/>
    </row>
    <row r="12" spans="2:20" ht="16.5" customHeight="1">
      <c r="B12" s="599" t="s">
        <v>18</v>
      </c>
      <c r="C12" s="600" t="str">
        <f>'INGRESO DE DATOS'!K90</f>
        <v> </v>
      </c>
      <c r="D12" s="605" t="str">
        <f>'INGRESO DE DATOS'!G90</f>
        <v> ----------</v>
      </c>
      <c r="E12" s="600" t="s">
        <v>0</v>
      </c>
      <c r="F12" s="601">
        <f>'INGRESO DE DATOS'!I90</f>
        <v>0</v>
      </c>
      <c r="G12" s="600" t="s">
        <v>19</v>
      </c>
      <c r="H12" s="602">
        <f>'INGRESO DE DATOS'!J90</f>
        <v>0</v>
      </c>
      <c r="I12" s="603" t="s">
        <v>1</v>
      </c>
      <c r="J12" s="503">
        <f aca="true" t="shared" si="0" ref="J12:J21">IF(S13=0,R13,S13)</f>
        <v>0</v>
      </c>
      <c r="K12" s="624">
        <f aca="true" t="shared" si="1" ref="K12:K21">VLOOKUP(D12,$R$4:$T$10,3,)</f>
        <v>0</v>
      </c>
      <c r="R12" s="547" t="s">
        <v>872</v>
      </c>
      <c r="S12" s="547" t="s">
        <v>873</v>
      </c>
      <c r="T12" s="37"/>
    </row>
    <row r="13" spans="2:20" ht="17.25" customHeight="1">
      <c r="B13" s="599" t="s">
        <v>18</v>
      </c>
      <c r="C13" s="600" t="str">
        <f>'INGRESO DE DATOS'!K91</f>
        <v> </v>
      </c>
      <c r="D13" s="605" t="str">
        <f>'INGRESO DE DATOS'!G91</f>
        <v> ----------</v>
      </c>
      <c r="E13" s="600" t="s">
        <v>0</v>
      </c>
      <c r="F13" s="601">
        <f>'INGRESO DE DATOS'!I91</f>
        <v>0</v>
      </c>
      <c r="G13" s="600" t="s">
        <v>19</v>
      </c>
      <c r="H13" s="602">
        <f>'INGRESO DE DATOS'!J91</f>
        <v>0</v>
      </c>
      <c r="I13" s="603" t="s">
        <v>1</v>
      </c>
      <c r="J13" s="503">
        <f t="shared" si="0"/>
        <v>0</v>
      </c>
      <c r="K13" s="624">
        <f t="shared" si="1"/>
        <v>0</v>
      </c>
      <c r="Q13" s="817"/>
      <c r="R13" s="817">
        <f aca="true" t="shared" si="2" ref="R13:R22">IF(D12="m2 a Demoler",0,(F12*H12*K12))</f>
        <v>0</v>
      </c>
      <c r="S13" s="817">
        <f aca="true" t="shared" si="3" ref="S13:S22">IF(D12="m2 a Demoler",(F12*H12),0)</f>
        <v>0</v>
      </c>
      <c r="T13" s="817">
        <f aca="true" t="shared" si="4" ref="T13:T22">IF(D12="m2 a Demoler",F12,0)</f>
        <v>0</v>
      </c>
    </row>
    <row r="14" spans="2:30" ht="15" customHeight="1">
      <c r="B14" s="599" t="s">
        <v>18</v>
      </c>
      <c r="C14" s="600" t="str">
        <f>'INGRESO DE DATOS'!K92</f>
        <v> </v>
      </c>
      <c r="D14" s="605" t="str">
        <f>'INGRESO DE DATOS'!G92</f>
        <v> ----------</v>
      </c>
      <c r="E14" s="600" t="s">
        <v>0</v>
      </c>
      <c r="F14" s="601">
        <f>'INGRESO DE DATOS'!I92</f>
        <v>0</v>
      </c>
      <c r="G14" s="600" t="s">
        <v>19</v>
      </c>
      <c r="H14" s="602">
        <f>'INGRESO DE DATOS'!J92</f>
        <v>0</v>
      </c>
      <c r="I14" s="603" t="s">
        <v>1</v>
      </c>
      <c r="J14" s="503">
        <f t="shared" si="0"/>
        <v>0</v>
      </c>
      <c r="K14" s="624">
        <f t="shared" si="1"/>
        <v>0</v>
      </c>
      <c r="R14" s="817">
        <f t="shared" si="2"/>
        <v>0</v>
      </c>
      <c r="S14" s="817">
        <f t="shared" si="3"/>
        <v>0</v>
      </c>
      <c r="T14" s="817">
        <f t="shared" si="4"/>
        <v>0</v>
      </c>
      <c r="AB14" s="48"/>
      <c r="AC14" s="48"/>
      <c r="AD14" s="48"/>
    </row>
    <row r="15" spans="2:20" ht="12" customHeight="1">
      <c r="B15" s="599" t="s">
        <v>18</v>
      </c>
      <c r="C15" s="600" t="str">
        <f>'INGRESO DE DATOS'!K93</f>
        <v> </v>
      </c>
      <c r="D15" s="605" t="str">
        <f>'INGRESO DE DATOS'!G93</f>
        <v> ----------</v>
      </c>
      <c r="E15" s="600" t="s">
        <v>0</v>
      </c>
      <c r="F15" s="601">
        <f>'INGRESO DE DATOS'!I93</f>
        <v>0</v>
      </c>
      <c r="G15" s="600" t="s">
        <v>19</v>
      </c>
      <c r="H15" s="602">
        <f>'INGRESO DE DATOS'!J93</f>
        <v>0</v>
      </c>
      <c r="I15" s="603" t="s">
        <v>1</v>
      </c>
      <c r="J15" s="503">
        <f t="shared" si="0"/>
        <v>0</v>
      </c>
      <c r="K15" s="624">
        <f t="shared" si="1"/>
        <v>0</v>
      </c>
      <c r="L15"/>
      <c r="R15" s="817">
        <f t="shared" si="2"/>
        <v>0</v>
      </c>
      <c r="S15" s="817">
        <f t="shared" si="3"/>
        <v>0</v>
      </c>
      <c r="T15" s="817">
        <f t="shared" si="4"/>
        <v>0</v>
      </c>
    </row>
    <row r="16" spans="2:20" ht="12" customHeight="1">
      <c r="B16" s="814" t="s">
        <v>18</v>
      </c>
      <c r="C16" s="600" t="str">
        <f>'INGRESO DE DATOS'!$K$94</f>
        <v> </v>
      </c>
      <c r="D16" s="605" t="str">
        <f>'INGRESO DE DATOS'!$G$94</f>
        <v> ----------</v>
      </c>
      <c r="E16" s="9" t="s">
        <v>0</v>
      </c>
      <c r="F16" s="601">
        <f>'INGRESO DE DATOS'!$I$94</f>
        <v>0</v>
      </c>
      <c r="G16" s="9" t="s">
        <v>19</v>
      </c>
      <c r="H16" s="602">
        <f>'INGRESO DE DATOS'!$J$94</f>
        <v>0</v>
      </c>
      <c r="I16" s="603" t="s">
        <v>1</v>
      </c>
      <c r="J16" s="503">
        <f t="shared" si="0"/>
        <v>0</v>
      </c>
      <c r="K16" s="624">
        <f t="shared" si="1"/>
        <v>0</v>
      </c>
      <c r="L16"/>
      <c r="R16" s="817">
        <f t="shared" si="2"/>
        <v>0</v>
      </c>
      <c r="S16" s="817">
        <f t="shared" si="3"/>
        <v>0</v>
      </c>
      <c r="T16" s="817">
        <f t="shared" si="4"/>
        <v>0</v>
      </c>
    </row>
    <row r="17" spans="2:20" ht="12" customHeight="1">
      <c r="B17" s="599" t="s">
        <v>18</v>
      </c>
      <c r="C17" s="600" t="str">
        <f>'INGRESO DE DATOS'!K95</f>
        <v> </v>
      </c>
      <c r="D17" s="605" t="str">
        <f>'INGRESO DE DATOS'!G95</f>
        <v> ----------</v>
      </c>
      <c r="E17" s="600" t="s">
        <v>0</v>
      </c>
      <c r="F17" s="601">
        <f>'INGRESO DE DATOS'!I95</f>
        <v>0</v>
      </c>
      <c r="G17" s="600" t="s">
        <v>19</v>
      </c>
      <c r="H17" s="602">
        <f>'INGRESO DE DATOS'!J95</f>
        <v>0</v>
      </c>
      <c r="I17" s="603" t="s">
        <v>1</v>
      </c>
      <c r="J17" s="503">
        <f t="shared" si="0"/>
        <v>0</v>
      </c>
      <c r="K17" s="624">
        <f t="shared" si="1"/>
        <v>0</v>
      </c>
      <c r="L17"/>
      <c r="R17" s="817">
        <f t="shared" si="2"/>
        <v>0</v>
      </c>
      <c r="S17" s="817">
        <f t="shared" si="3"/>
        <v>0</v>
      </c>
      <c r="T17" s="817">
        <f t="shared" si="4"/>
        <v>0</v>
      </c>
    </row>
    <row r="18" spans="2:20" ht="12" customHeight="1">
      <c r="B18" s="599" t="s">
        <v>18</v>
      </c>
      <c r="C18" s="600" t="str">
        <f>'INGRESO DE DATOS'!K96</f>
        <v> </v>
      </c>
      <c r="D18" s="605" t="str">
        <f>'INGRESO DE DATOS'!G96</f>
        <v> ----------</v>
      </c>
      <c r="E18" s="600" t="s">
        <v>0</v>
      </c>
      <c r="F18" s="601">
        <f>'INGRESO DE DATOS'!I96</f>
        <v>0</v>
      </c>
      <c r="G18" s="600" t="s">
        <v>19</v>
      </c>
      <c r="H18" s="602">
        <f>'INGRESO DE DATOS'!J96</f>
        <v>0</v>
      </c>
      <c r="I18" s="603" t="s">
        <v>1</v>
      </c>
      <c r="J18" s="503">
        <f t="shared" si="0"/>
        <v>0</v>
      </c>
      <c r="K18" s="624">
        <f t="shared" si="1"/>
        <v>0</v>
      </c>
      <c r="L18"/>
      <c r="R18" s="817">
        <f t="shared" si="2"/>
        <v>0</v>
      </c>
      <c r="S18" s="817">
        <f t="shared" si="3"/>
        <v>0</v>
      </c>
      <c r="T18" s="817">
        <f t="shared" si="4"/>
        <v>0</v>
      </c>
    </row>
    <row r="19" spans="2:20" ht="12" customHeight="1">
      <c r="B19" s="599" t="s">
        <v>18</v>
      </c>
      <c r="C19" s="600" t="str">
        <f>'INGRESO DE DATOS'!K97</f>
        <v> </v>
      </c>
      <c r="D19" s="605" t="str">
        <f>'INGRESO DE DATOS'!G97</f>
        <v> ----------</v>
      </c>
      <c r="E19" s="600" t="s">
        <v>0</v>
      </c>
      <c r="F19" s="601">
        <f>'INGRESO DE DATOS'!I97</f>
        <v>0</v>
      </c>
      <c r="G19" s="600" t="s">
        <v>19</v>
      </c>
      <c r="H19" s="602">
        <f>'INGRESO DE DATOS'!J97</f>
        <v>0</v>
      </c>
      <c r="I19" s="603" t="s">
        <v>1</v>
      </c>
      <c r="J19" s="503">
        <f t="shared" si="0"/>
        <v>0</v>
      </c>
      <c r="K19" s="624">
        <f t="shared" si="1"/>
        <v>0</v>
      </c>
      <c r="L19"/>
      <c r="R19" s="817">
        <f t="shared" si="2"/>
        <v>0</v>
      </c>
      <c r="S19" s="817">
        <f t="shared" si="3"/>
        <v>0</v>
      </c>
      <c r="T19" s="817">
        <f t="shared" si="4"/>
        <v>0</v>
      </c>
    </row>
    <row r="20" spans="2:20" ht="12" customHeight="1">
      <c r="B20" s="614" t="s">
        <v>18</v>
      </c>
      <c r="C20" s="615" t="str">
        <f>'INGRESO DE DATOS'!K98</f>
        <v> </v>
      </c>
      <c r="D20" s="616" t="str">
        <f>'INGRESO DE DATOS'!$G$98</f>
        <v> ----------</v>
      </c>
      <c r="E20" s="615" t="s">
        <v>0</v>
      </c>
      <c r="F20" s="617">
        <f>'INGRESO DE DATOS'!I98</f>
        <v>0</v>
      </c>
      <c r="G20" s="600" t="s">
        <v>19</v>
      </c>
      <c r="H20" s="618">
        <f>'INGRESO DE DATOS'!J98</f>
        <v>0</v>
      </c>
      <c r="I20" s="619" t="s">
        <v>1</v>
      </c>
      <c r="J20" s="503">
        <f t="shared" si="0"/>
        <v>0</v>
      </c>
      <c r="K20" s="624">
        <f t="shared" si="1"/>
        <v>0</v>
      </c>
      <c r="L20"/>
      <c r="R20" s="817">
        <f t="shared" si="2"/>
        <v>0</v>
      </c>
      <c r="S20" s="817">
        <f t="shared" si="3"/>
        <v>0</v>
      </c>
      <c r="T20" s="817">
        <f t="shared" si="4"/>
        <v>0</v>
      </c>
    </row>
    <row r="21" spans="2:20" ht="12" customHeight="1">
      <c r="B21" s="599" t="s">
        <v>18</v>
      </c>
      <c r="C21" s="600" t="str">
        <f>'INGRESO DE DATOS'!K99</f>
        <v> </v>
      </c>
      <c r="D21" s="605" t="str">
        <f>'INGRESO DE DATOS'!$G$99</f>
        <v> ----------</v>
      </c>
      <c r="E21" s="600" t="s">
        <v>0</v>
      </c>
      <c r="F21" s="601">
        <f>'INGRESO DE DATOS'!I99</f>
        <v>0</v>
      </c>
      <c r="G21" s="600" t="s">
        <v>19</v>
      </c>
      <c r="H21" s="602">
        <f>'INGRESO DE DATOS'!J99</f>
        <v>0</v>
      </c>
      <c r="I21" s="603" t="s">
        <v>1</v>
      </c>
      <c r="J21" s="503">
        <f t="shared" si="0"/>
        <v>0</v>
      </c>
      <c r="K21" s="624">
        <f t="shared" si="1"/>
        <v>0</v>
      </c>
      <c r="L21"/>
      <c r="R21" s="817">
        <f t="shared" si="2"/>
        <v>0</v>
      </c>
      <c r="S21" s="817">
        <f t="shared" si="3"/>
        <v>0</v>
      </c>
      <c r="T21" s="817">
        <f t="shared" si="4"/>
        <v>0</v>
      </c>
    </row>
    <row r="22" spans="2:20" ht="12" customHeight="1" thickBot="1">
      <c r="B22" s="606"/>
      <c r="C22" s="607"/>
      <c r="D22" s="608" t="s">
        <v>628</v>
      </c>
      <c r="E22" s="607"/>
      <c r="F22" s="609"/>
      <c r="G22" s="607"/>
      <c r="H22" s="610"/>
      <c r="I22" s="611"/>
      <c r="J22" s="604">
        <f>'INGRESO DE DATOS'!$I$100</f>
        <v>0</v>
      </c>
      <c r="K22" s="3"/>
      <c r="L22"/>
      <c r="R22" s="817">
        <f t="shared" si="2"/>
        <v>0</v>
      </c>
      <c r="S22" s="817">
        <f t="shared" si="3"/>
        <v>0</v>
      </c>
      <c r="T22" s="817">
        <f t="shared" si="4"/>
        <v>0</v>
      </c>
    </row>
    <row r="23" spans="2:20" ht="12" customHeight="1" thickBot="1">
      <c r="B23" s="606"/>
      <c r="C23" s="607"/>
      <c r="D23" s="608" t="s">
        <v>627</v>
      </c>
      <c r="E23" s="607"/>
      <c r="F23" s="612"/>
      <c r="G23" s="613"/>
      <c r="H23" s="610"/>
      <c r="I23" s="611"/>
      <c r="J23" s="41">
        <f>'INGRESO DE DATOS'!$I$101</f>
        <v>0</v>
      </c>
      <c r="K23" s="39"/>
      <c r="L23"/>
      <c r="P23" s="1060" t="s">
        <v>880</v>
      </c>
      <c r="Q23" s="1470"/>
      <c r="R23" s="966">
        <f>$J$24</f>
        <v>0</v>
      </c>
      <c r="S23" s="818"/>
      <c r="T23" s="818"/>
    </row>
    <row r="24" spans="2:20" ht="17.25" customHeight="1" thickBot="1">
      <c r="B24" s="1471" t="str">
        <f>'INGRESO DE DATOS'!$B$102</f>
        <v>  </v>
      </c>
      <c r="C24" s="1472"/>
      <c r="D24" s="932" t="str">
        <f>'INGRESO DE DATOS'!$E$102</f>
        <v>  </v>
      </c>
      <c r="E24" s="1473" t="str">
        <f>'INGRESO DE DATOS'!$F$102</f>
        <v>  </v>
      </c>
      <c r="F24" s="1474"/>
      <c r="G24" s="825">
        <f>+L30*100</f>
        <v>0</v>
      </c>
      <c r="H24" s="826" t="s">
        <v>24</v>
      </c>
      <c r="I24" s="827" t="s">
        <v>833</v>
      </c>
      <c r="J24" s="938">
        <f>IF($L$30&gt;=0.15,((J41)*($L$30)),0)</f>
        <v>0</v>
      </c>
      <c r="K24" s="3"/>
      <c r="M24" s="3"/>
      <c r="Q24" s="819" t="s">
        <v>848</v>
      </c>
      <c r="R24" s="967">
        <f>+R13+R14+R15+R16+R17+R18+R19+R20+R21+R22+J22+J23</f>
        <v>0</v>
      </c>
      <c r="S24" s="818">
        <f>SUM(S13:S22)</f>
        <v>0</v>
      </c>
      <c r="T24" s="818">
        <f>SUM(T13:T22)</f>
        <v>0</v>
      </c>
    </row>
    <row r="25" spans="2:19" ht="18" customHeight="1" thickBot="1">
      <c r="B25" s="1467" t="s">
        <v>883</v>
      </c>
      <c r="C25" s="1468"/>
      <c r="D25" s="1468"/>
      <c r="E25" s="1468"/>
      <c r="F25" s="1468"/>
      <c r="G25" s="1468"/>
      <c r="H25" s="1468"/>
      <c r="I25" s="1469"/>
      <c r="J25" s="816">
        <f>$S$24</f>
        <v>0</v>
      </c>
      <c r="K25" s="3"/>
      <c r="M25" s="3"/>
      <c r="R25" s="251"/>
      <c r="S25" s="817">
        <f>(SUM(S13:S22))*K12</f>
        <v>0</v>
      </c>
    </row>
    <row r="26" spans="2:20" s="771" customFormat="1" ht="20.25" customHeight="1" thickBot="1">
      <c r="B26" s="1467" t="s">
        <v>882</v>
      </c>
      <c r="C26" s="1468"/>
      <c r="D26" s="1468"/>
      <c r="E26" s="1468"/>
      <c r="F26" s="1468"/>
      <c r="G26" s="1468"/>
      <c r="H26" s="1468"/>
      <c r="I26" s="1469"/>
      <c r="J26" s="816">
        <f>$R$24</f>
        <v>0</v>
      </c>
      <c r="M26" s="815"/>
      <c r="N26" s="815"/>
      <c r="O26" s="815"/>
      <c r="P26" s="37"/>
      <c r="Q26" s="37"/>
      <c r="R26" s="37"/>
      <c r="S26" s="37"/>
      <c r="T26" s="37"/>
    </row>
    <row r="27" spans="2:59" ht="18.75" customHeight="1" thickBot="1">
      <c r="B27" s="1467" t="s">
        <v>884</v>
      </c>
      <c r="C27" s="1468"/>
      <c r="D27" s="1468"/>
      <c r="E27" s="1468"/>
      <c r="F27" s="1468"/>
      <c r="G27" s="1468"/>
      <c r="H27" s="1468"/>
      <c r="I27" s="1469"/>
      <c r="J27" s="816">
        <f>$R$24+J24</f>
        <v>0</v>
      </c>
      <c r="K27" s="771"/>
      <c r="L27" s="771"/>
      <c r="M27" s="815"/>
      <c r="N27" s="815"/>
      <c r="O27" s="815"/>
      <c r="P27" s="771"/>
      <c r="Q27" s="771"/>
      <c r="R27" s="771"/>
      <c r="S27" s="771"/>
      <c r="T27" s="771"/>
      <c r="U27" s="771"/>
      <c r="V27" s="771"/>
      <c r="W27" s="771"/>
      <c r="X27" s="771"/>
      <c r="Y27" s="771"/>
      <c r="Z27" s="771"/>
      <c r="AA27" s="771"/>
      <c r="AB27" s="771"/>
      <c r="AC27" s="771"/>
      <c r="AD27" s="771"/>
      <c r="AE27" s="771"/>
      <c r="AF27" s="771"/>
      <c r="AG27" s="771"/>
      <c r="AH27" s="771"/>
      <c r="AI27" s="771"/>
      <c r="AJ27" s="771"/>
      <c r="AK27" s="771"/>
      <c r="AL27" s="771"/>
      <c r="AM27" s="771"/>
      <c r="AN27" s="771"/>
      <c r="AO27" s="771"/>
      <c r="AP27" s="771"/>
      <c r="AQ27" s="771"/>
      <c r="AR27" s="771"/>
      <c r="AS27" s="771"/>
      <c r="AT27" s="771"/>
      <c r="AU27" s="771"/>
      <c r="AV27" s="771"/>
      <c r="AW27" s="771"/>
      <c r="AX27" s="771"/>
      <c r="AY27" s="771"/>
      <c r="AZ27" s="771"/>
      <c r="BA27" s="771"/>
      <c r="BB27" s="771"/>
      <c r="BC27" s="771"/>
      <c r="BD27" s="771"/>
      <c r="BE27" s="771"/>
      <c r="BF27" s="771"/>
      <c r="BG27" s="771"/>
    </row>
    <row r="28" spans="11:18" ht="15.75" customHeight="1">
      <c r="K28" s="3"/>
      <c r="M28" s="37"/>
      <c r="O28" s="37"/>
      <c r="P28" s="3"/>
      <c r="Q28" s="3"/>
      <c r="R28" s="3"/>
    </row>
    <row r="29" spans="2:18" ht="23.25" customHeight="1">
      <c r="B29" s="8" t="s">
        <v>294</v>
      </c>
      <c r="K29" s="3"/>
      <c r="L29"/>
      <c r="M29" s="37"/>
      <c r="O29" s="37"/>
      <c r="P29" s="3"/>
      <c r="Q29" s="3"/>
      <c r="R29" s="3"/>
    </row>
    <row r="30" spans="2:29" ht="13.5" customHeight="1">
      <c r="B30" s="599" t="s">
        <v>18</v>
      </c>
      <c r="C30" s="5"/>
      <c r="D30" s="5"/>
      <c r="F30" s="5"/>
      <c r="G30" s="13"/>
      <c r="H30" s="5"/>
      <c r="I30" s="5"/>
      <c r="J30" s="5"/>
      <c r="K30" s="9"/>
      <c r="L30" s="769">
        <f>'INGRESO DE DATOS'!$G$73</f>
        <v>0</v>
      </c>
      <c r="M30" s="1475" t="s">
        <v>573</v>
      </c>
      <c r="N30" s="1475"/>
      <c r="O30" s="1475"/>
      <c r="AB30" s="69"/>
      <c r="AC30" s="70"/>
    </row>
    <row r="31" spans="2:18" ht="13.5" customHeight="1">
      <c r="B31" s="599" t="s">
        <v>18</v>
      </c>
      <c r="C31" s="600" t="str">
        <f>'INGRESO DE DATOS'!K105</f>
        <v> </v>
      </c>
      <c r="D31" s="605" t="str">
        <f>'INGRESO DE DATOS'!G105</f>
        <v> ----------</v>
      </c>
      <c r="E31" s="600" t="s">
        <v>0</v>
      </c>
      <c r="F31" s="623">
        <f>'INGRESO DE DATOS'!I105</f>
        <v>0</v>
      </c>
      <c r="G31" s="600" t="s">
        <v>19</v>
      </c>
      <c r="H31" s="602">
        <f>'INGRESO DE DATOS'!J105</f>
        <v>0</v>
      </c>
      <c r="I31" s="603" t="s">
        <v>1</v>
      </c>
      <c r="J31" s="604">
        <f aca="true" t="shared" si="5" ref="J31:J37">+F31*H31*K31</f>
        <v>0</v>
      </c>
      <c r="K31" s="624">
        <f aca="true" t="shared" si="6" ref="K31:K37">VLOOKUP(D31,$R$4:$T$10,3,)</f>
        <v>0</v>
      </c>
      <c r="L31"/>
      <c r="M31" s="37"/>
      <c r="O31" s="37"/>
      <c r="P31" s="3"/>
      <c r="Q31" s="3"/>
      <c r="R31" s="3"/>
    </row>
    <row r="32" spans="2:29" ht="13.5" customHeight="1">
      <c r="B32" s="599" t="s">
        <v>18</v>
      </c>
      <c r="C32" s="600" t="str">
        <f>'INGRESO DE DATOS'!K106</f>
        <v> </v>
      </c>
      <c r="D32" s="605" t="str">
        <f>'INGRESO DE DATOS'!G106</f>
        <v> ----------</v>
      </c>
      <c r="E32" s="600" t="s">
        <v>0</v>
      </c>
      <c r="F32" s="623">
        <f>'INGRESO DE DATOS'!I106</f>
        <v>0</v>
      </c>
      <c r="G32" s="600" t="s">
        <v>19</v>
      </c>
      <c r="H32" s="602">
        <f>'INGRESO DE DATOS'!J106</f>
        <v>0</v>
      </c>
      <c r="I32" s="603" t="s">
        <v>1</v>
      </c>
      <c r="J32" s="604">
        <f t="shared" si="5"/>
        <v>0</v>
      </c>
      <c r="K32" s="624">
        <f t="shared" si="6"/>
        <v>0</v>
      </c>
      <c r="L32" s="69"/>
      <c r="M32" s="37"/>
      <c r="O32" s="37"/>
      <c r="P32" s="3"/>
      <c r="Q32" s="3"/>
      <c r="R32" s="3"/>
      <c r="Z32" s="47"/>
      <c r="AA32" s="48"/>
      <c r="AB32" s="48"/>
      <c r="AC32" s="47"/>
    </row>
    <row r="33" spans="2:29" ht="13.5" customHeight="1">
      <c r="B33" s="599" t="s">
        <v>18</v>
      </c>
      <c r="C33" s="600" t="str">
        <f>'INGRESO DE DATOS'!K107</f>
        <v> </v>
      </c>
      <c r="D33" s="605" t="str">
        <f>'INGRESO DE DATOS'!G107</f>
        <v> ----------</v>
      </c>
      <c r="E33" s="600" t="s">
        <v>0</v>
      </c>
      <c r="F33" s="601">
        <f>'INGRESO DE DATOS'!I107</f>
        <v>0</v>
      </c>
      <c r="G33" s="600" t="s">
        <v>19</v>
      </c>
      <c r="H33" s="602">
        <f>'INGRESO DE DATOS'!J107</f>
        <v>0</v>
      </c>
      <c r="I33" s="603" t="s">
        <v>1</v>
      </c>
      <c r="J33" s="604">
        <f t="shared" si="5"/>
        <v>0</v>
      </c>
      <c r="K33" s="624">
        <f t="shared" si="6"/>
        <v>0</v>
      </c>
      <c r="L33"/>
      <c r="M33" s="37"/>
      <c r="O33" s="37"/>
      <c r="P33" s="3"/>
      <c r="Q33" s="3"/>
      <c r="R33" s="3"/>
      <c r="Z33" s="47"/>
      <c r="AA33" s="48"/>
      <c r="AB33" s="48"/>
      <c r="AC33" s="47"/>
    </row>
    <row r="34" spans="2:29" ht="13.5" customHeight="1">
      <c r="B34" s="599" t="s">
        <v>18</v>
      </c>
      <c r="C34" s="600" t="str">
        <f>'INGRESO DE DATOS'!K109</f>
        <v> </v>
      </c>
      <c r="D34" s="605" t="str">
        <f>'INGRESO DE DATOS'!G109</f>
        <v> ----------</v>
      </c>
      <c r="E34" s="600" t="s">
        <v>0</v>
      </c>
      <c r="F34" s="601">
        <f>'INGRESO DE DATOS'!I109</f>
        <v>0</v>
      </c>
      <c r="G34" s="600" t="s">
        <v>19</v>
      </c>
      <c r="H34" s="602">
        <f>'INGRESO DE DATOS'!J109</f>
        <v>0</v>
      </c>
      <c r="I34" s="603" t="s">
        <v>1</v>
      </c>
      <c r="J34" s="604">
        <f t="shared" si="5"/>
        <v>0</v>
      </c>
      <c r="K34" s="624">
        <f t="shared" si="6"/>
        <v>0</v>
      </c>
      <c r="L34"/>
      <c r="M34" s="37"/>
      <c r="O34" s="37"/>
      <c r="P34" s="3"/>
      <c r="Q34" s="3"/>
      <c r="R34" s="3"/>
      <c r="Z34" s="47"/>
      <c r="AA34" s="48"/>
      <c r="AB34" s="48"/>
      <c r="AC34" s="47"/>
    </row>
    <row r="35" spans="2:29" ht="13.5" customHeight="1">
      <c r="B35" s="599" t="s">
        <v>18</v>
      </c>
      <c r="C35" s="600" t="str">
        <f>'INGRESO DE DATOS'!K110</f>
        <v> </v>
      </c>
      <c r="D35" s="605" t="str">
        <f>'INGRESO DE DATOS'!G110</f>
        <v> ----------</v>
      </c>
      <c r="E35" s="600" t="s">
        <v>0</v>
      </c>
      <c r="F35" s="601">
        <f>'INGRESO DE DATOS'!I110</f>
        <v>0</v>
      </c>
      <c r="G35" s="600" t="s">
        <v>19</v>
      </c>
      <c r="H35" s="602">
        <f>'INGRESO DE DATOS'!J110</f>
        <v>0</v>
      </c>
      <c r="I35" s="603" t="s">
        <v>1</v>
      </c>
      <c r="J35" s="604">
        <f t="shared" si="5"/>
        <v>0</v>
      </c>
      <c r="K35" s="624">
        <f t="shared" si="6"/>
        <v>0</v>
      </c>
      <c r="L35"/>
      <c r="M35" s="37"/>
      <c r="O35" s="37"/>
      <c r="P35" s="3"/>
      <c r="Q35" s="3"/>
      <c r="R35" s="3"/>
      <c r="Z35" s="47"/>
      <c r="AA35" s="48"/>
      <c r="AB35" s="48"/>
      <c r="AC35" s="47"/>
    </row>
    <row r="36" spans="2:29" ht="13.5" customHeight="1">
      <c r="B36" s="599" t="s">
        <v>18</v>
      </c>
      <c r="C36" s="600" t="str">
        <f>'INGRESO DE DATOS'!K111</f>
        <v> </v>
      </c>
      <c r="D36" s="605" t="str">
        <f>'INGRESO DE DATOS'!G111</f>
        <v> ----------</v>
      </c>
      <c r="E36" s="600" t="s">
        <v>0</v>
      </c>
      <c r="F36" s="601">
        <f>'INGRESO DE DATOS'!I111</f>
        <v>0</v>
      </c>
      <c r="G36" s="600" t="s">
        <v>19</v>
      </c>
      <c r="H36" s="602">
        <f>'INGRESO DE DATOS'!J111</f>
        <v>0</v>
      </c>
      <c r="I36" s="603" t="s">
        <v>1</v>
      </c>
      <c r="J36" s="604">
        <f t="shared" si="5"/>
        <v>0</v>
      </c>
      <c r="K36" s="624">
        <f t="shared" si="6"/>
        <v>0</v>
      </c>
      <c r="L36"/>
      <c r="M36" s="37"/>
      <c r="O36" s="37"/>
      <c r="P36" s="3"/>
      <c r="Q36" s="3"/>
      <c r="R36" s="3"/>
      <c r="Z36" s="47"/>
      <c r="AA36" s="48"/>
      <c r="AB36" s="48"/>
      <c r="AC36" s="47"/>
    </row>
    <row r="37" spans="2:29" ht="13.5" customHeight="1">
      <c r="B37" s="606"/>
      <c r="C37" s="600" t="str">
        <f>'INGRESO DE DATOS'!K112</f>
        <v> </v>
      </c>
      <c r="D37" s="605" t="str">
        <f>'INGRESO DE DATOS'!G112</f>
        <v> ----------</v>
      </c>
      <c r="E37" s="600" t="s">
        <v>0</v>
      </c>
      <c r="F37" s="601">
        <f>'INGRESO DE DATOS'!I112</f>
        <v>0</v>
      </c>
      <c r="G37" s="600" t="s">
        <v>19</v>
      </c>
      <c r="H37" s="602">
        <f>'INGRESO DE DATOS'!J112</f>
        <v>0</v>
      </c>
      <c r="I37" s="603" t="s">
        <v>1</v>
      </c>
      <c r="J37" s="604">
        <f t="shared" si="5"/>
        <v>0</v>
      </c>
      <c r="K37" s="624">
        <f t="shared" si="6"/>
        <v>0</v>
      </c>
      <c r="L37"/>
      <c r="M37" s="37"/>
      <c r="O37" s="37"/>
      <c r="P37" s="3"/>
      <c r="Q37" s="3"/>
      <c r="R37" s="3"/>
      <c r="Z37" s="47"/>
      <c r="AA37" s="48"/>
      <c r="AB37" s="48"/>
      <c r="AC37" s="47"/>
    </row>
    <row r="38" spans="2:29" ht="13.5" customHeight="1">
      <c r="B38" s="606"/>
      <c r="C38" s="607"/>
      <c r="D38" s="608" t="s">
        <v>628</v>
      </c>
      <c r="E38" s="607"/>
      <c r="F38" s="625"/>
      <c r="G38" s="607"/>
      <c r="H38" s="610"/>
      <c r="I38" s="611"/>
      <c r="J38" s="598">
        <f>'INGRESO DE DATOS'!$I$114</f>
        <v>0</v>
      </c>
      <c r="K38" s="3"/>
      <c r="L38"/>
      <c r="M38" s="42"/>
      <c r="O38" s="37"/>
      <c r="P38" s="46"/>
      <c r="Q38" s="79"/>
      <c r="R38" s="369"/>
      <c r="S38" s="42"/>
      <c r="T38" s="50"/>
      <c r="U38" s="50"/>
      <c r="V38" s="50"/>
      <c r="W38" s="39"/>
      <c r="Z38" s="47"/>
      <c r="AA38" s="48"/>
      <c r="AB38" s="71"/>
      <c r="AC38" s="67"/>
    </row>
    <row r="39" spans="2:29" ht="13.5" customHeight="1" thickBot="1">
      <c r="B39" s="614" t="s">
        <v>18</v>
      </c>
      <c r="C39" s="607"/>
      <c r="D39" s="608" t="s">
        <v>627</v>
      </c>
      <c r="E39" s="607"/>
      <c r="F39" s="626"/>
      <c r="G39" s="607"/>
      <c r="H39" s="610"/>
      <c r="I39" s="611"/>
      <c r="J39" s="226">
        <f>'INGRESO DE DATOS'!$I$115</f>
        <v>0</v>
      </c>
      <c r="K39" s="3"/>
      <c r="L39" s="596"/>
      <c r="M39" s="596"/>
      <c r="N39" s="596"/>
      <c r="O39" s="37"/>
      <c r="P39" s="46"/>
      <c r="Q39" s="79"/>
      <c r="R39" s="369"/>
      <c r="S39" s="42"/>
      <c r="T39" s="50"/>
      <c r="U39" s="50"/>
      <c r="V39" s="50"/>
      <c r="W39" s="39"/>
      <c r="Z39" s="47"/>
      <c r="AA39" s="48"/>
      <c r="AB39" s="71"/>
      <c r="AC39" s="67"/>
    </row>
    <row r="40" spans="2:29" ht="16.5" customHeight="1" thickBot="1">
      <c r="B40" s="621"/>
      <c r="C40" s="615" t="str">
        <f>'INGRESO DE DATOS'!$K$113</f>
        <v> </v>
      </c>
      <c r="D40" s="616" t="s">
        <v>16</v>
      </c>
      <c r="E40" s="615" t="s">
        <v>0</v>
      </c>
      <c r="F40" s="627">
        <f>'INGRESO DE DATOS'!$I$113</f>
        <v>0</v>
      </c>
      <c r="G40" s="615" t="s">
        <v>19</v>
      </c>
      <c r="H40" s="618">
        <f>'INGRESO DE DATOS'!$J$113</f>
        <v>0</v>
      </c>
      <c r="I40" s="619" t="s">
        <v>1</v>
      </c>
      <c r="J40" s="620">
        <f>PRODUCT(F40*H40)</f>
        <v>0</v>
      </c>
      <c r="K40" s="3"/>
      <c r="L40"/>
      <c r="M40" s="37"/>
      <c r="O40" s="37"/>
      <c r="P40" s="46"/>
      <c r="Q40" s="369"/>
      <c r="R40" s="369"/>
      <c r="S40" s="46"/>
      <c r="T40" s="50"/>
      <c r="U40" s="50"/>
      <c r="V40" s="50"/>
      <c r="W40" s="39"/>
      <c r="X40" s="46"/>
      <c r="Z40" s="47"/>
      <c r="AA40" s="47"/>
      <c r="AB40" s="47"/>
      <c r="AC40" s="47"/>
    </row>
    <row r="41" spans="2:20" ht="16.5" customHeight="1" thickBot="1">
      <c r="B41" s="5"/>
      <c r="C41" s="336"/>
      <c r="D41" s="336"/>
      <c r="E41" s="336"/>
      <c r="F41" s="628"/>
      <c r="G41" s="336"/>
      <c r="H41" s="622" t="s">
        <v>4</v>
      </c>
      <c r="I41" s="336"/>
      <c r="J41" s="933">
        <f>SUM(J31:J40)</f>
        <v>0</v>
      </c>
      <c r="K41" s="3"/>
      <c r="L41"/>
      <c r="M41" s="37"/>
      <c r="O41" s="37"/>
      <c r="P41" s="46"/>
      <c r="Q41" s="244"/>
      <c r="R41" s="369"/>
      <c r="S41" s="46"/>
      <c r="T41" s="244"/>
    </row>
    <row r="42" spans="1:30" ht="16.5" customHeight="1">
      <c r="A42" s="104"/>
      <c r="B42" s="201"/>
      <c r="C42" s="5"/>
      <c r="D42" s="5"/>
      <c r="E42" s="5"/>
      <c r="F42" s="5"/>
      <c r="G42" s="9"/>
      <c r="H42" s="5"/>
      <c r="I42" s="11"/>
      <c r="J42" s="5"/>
      <c r="K42" s="42"/>
      <c r="O42" s="37"/>
      <c r="Y42" s="46"/>
      <c r="AD42" s="47">
        <v>1</v>
      </c>
    </row>
    <row r="43" spans="2:30" ht="16.5" customHeight="1">
      <c r="B43" s="5"/>
      <c r="C43" s="201"/>
      <c r="D43" s="201"/>
      <c r="E43" s="201"/>
      <c r="F43" s="201"/>
      <c r="G43" s="202"/>
      <c r="H43" s="201"/>
      <c r="I43" s="203"/>
      <c r="J43" s="201"/>
      <c r="K43" s="204"/>
      <c r="L43" s="104"/>
      <c r="M43" s="104"/>
      <c r="N43" s="165"/>
      <c r="S43" s="46"/>
      <c r="T43" s="46"/>
      <c r="U43" s="47"/>
      <c r="V43" s="49"/>
      <c r="W43" s="47"/>
      <c r="Y43" s="46"/>
      <c r="AD43" s="47">
        <v>2</v>
      </c>
    </row>
    <row r="44" spans="2:30" ht="16.5" customHeight="1" thickBot="1">
      <c r="B44" s="5"/>
      <c r="C44" s="5"/>
      <c r="D44" s="5"/>
      <c r="E44" s="5"/>
      <c r="F44" s="5"/>
      <c r="G44" s="9"/>
      <c r="H44" s="5"/>
      <c r="I44" s="11"/>
      <c r="J44" s="5"/>
      <c r="K44" s="42"/>
      <c r="S44" s="46"/>
      <c r="U44" s="47"/>
      <c r="V44" s="49"/>
      <c r="W44" s="47"/>
      <c r="Y44" s="46"/>
      <c r="AA44" s="47"/>
      <c r="AB44" s="47"/>
      <c r="AC44" s="47"/>
      <c r="AD44" s="47">
        <v>3</v>
      </c>
    </row>
    <row r="45" spans="2:30" ht="18.75" customHeight="1">
      <c r="B45" s="821" t="s">
        <v>20</v>
      </c>
      <c r="C45" s="5"/>
      <c r="D45" s="5"/>
      <c r="E45" s="5"/>
      <c r="F45" s="5"/>
      <c r="G45" s="9"/>
      <c r="H45" s="5"/>
      <c r="I45" s="11"/>
      <c r="J45" s="5"/>
      <c r="K45" s="42"/>
      <c r="S45" s="46"/>
      <c r="T45" s="46"/>
      <c r="U45" s="47"/>
      <c r="V45" s="49"/>
      <c r="W45" s="47"/>
      <c r="Y45" s="46"/>
      <c r="AA45" s="47"/>
      <c r="AB45" s="47"/>
      <c r="AC45" s="47"/>
      <c r="AD45" s="47">
        <v>4</v>
      </c>
    </row>
    <row r="46" spans="2:30" ht="12" customHeight="1">
      <c r="B46" s="5" t="s">
        <v>21</v>
      </c>
      <c r="C46" s="16"/>
      <c r="D46" s="16"/>
      <c r="E46" s="5"/>
      <c r="F46" s="5"/>
      <c r="G46" s="5"/>
      <c r="H46" s="5"/>
      <c r="I46" s="5"/>
      <c r="J46" s="5"/>
      <c r="K46" s="9"/>
      <c r="L46" s="39"/>
      <c r="M46" s="163"/>
      <c r="N46" s="164"/>
      <c r="O46" s="243"/>
      <c r="P46" s="164"/>
      <c r="Q46" s="164">
        <f>1.4-1</f>
        <v>0.3999999999999999</v>
      </c>
      <c r="R46" s="164"/>
      <c r="S46" s="46"/>
      <c r="T46" s="85"/>
      <c r="U46" s="96"/>
      <c r="V46" s="95" t="s">
        <v>77</v>
      </c>
      <c r="W46" s="89"/>
      <c r="X46" s="47"/>
      <c r="AA46" s="47"/>
      <c r="AB46" s="47"/>
      <c r="AC46" s="47"/>
      <c r="AD46" s="47">
        <v>5</v>
      </c>
    </row>
    <row r="47" spans="2:30" ht="16.5" customHeight="1">
      <c r="B47" s="5" t="s">
        <v>22</v>
      </c>
      <c r="C47" s="5"/>
      <c r="D47" s="5"/>
      <c r="E47" s="5"/>
      <c r="F47" s="5"/>
      <c r="G47" s="5"/>
      <c r="H47" s="5"/>
      <c r="I47" s="5"/>
      <c r="J47" s="5"/>
      <c r="K47" s="9"/>
      <c r="L47" s="39"/>
      <c r="M47" s="163"/>
      <c r="N47" s="164"/>
      <c r="O47" s="243"/>
      <c r="P47" s="164"/>
      <c r="Q47" s="164"/>
      <c r="R47" s="164"/>
      <c r="S47" s="46"/>
      <c r="T47" s="80"/>
      <c r="U47" s="237" t="s">
        <v>75</v>
      </c>
      <c r="V47" s="52" t="s">
        <v>76</v>
      </c>
      <c r="W47" s="90" t="s">
        <v>76</v>
      </c>
      <c r="X47" s="47"/>
      <c r="Y47" s="49"/>
      <c r="AA47" s="47"/>
      <c r="AB47" s="47"/>
      <c r="AC47" s="47"/>
      <c r="AD47" s="47">
        <v>6</v>
      </c>
    </row>
    <row r="48" spans="2:30" ht="15" customHeight="1">
      <c r="B48" s="5" t="s">
        <v>5</v>
      </c>
      <c r="C48" s="5"/>
      <c r="D48" s="5"/>
      <c r="E48" s="5"/>
      <c r="F48" s="5"/>
      <c r="G48" s="5"/>
      <c r="H48" s="35"/>
      <c r="I48" s="84">
        <f>$J$27</f>
        <v>0</v>
      </c>
      <c r="J48" s="35"/>
      <c r="K48" s="9"/>
      <c r="L48" s="50"/>
      <c r="M48" s="163"/>
      <c r="N48" s="60"/>
      <c r="O48" s="249"/>
      <c r="P48" s="52"/>
      <c r="Q48" s="60"/>
      <c r="R48" s="60"/>
      <c r="S48" s="46"/>
      <c r="T48" s="80"/>
      <c r="U48" s="237"/>
      <c r="V48" s="52"/>
      <c r="W48" s="91">
        <v>0.085</v>
      </c>
      <c r="X48" s="47"/>
      <c r="Y48" s="49"/>
      <c r="AA48" s="47"/>
      <c r="AB48" s="47"/>
      <c r="AC48" s="47"/>
      <c r="AD48" s="47">
        <v>7</v>
      </c>
    </row>
    <row r="49" spans="2:30" ht="15.75" customHeight="1">
      <c r="B49" s="5" t="s">
        <v>23</v>
      </c>
      <c r="C49" s="5"/>
      <c r="D49" s="5"/>
      <c r="E49" s="5"/>
      <c r="F49" s="5"/>
      <c r="G49" s="5"/>
      <c r="H49" s="35"/>
      <c r="I49" s="84">
        <f>IF(I48&lt;=0,0,IF(AND(I48&gt;0,I48&lt;=U49),I48,IF(AND(I48&gt;U49,I48&lt;=U51),U49,IF(AND(I48&gt;U51,I48&lt;=V51),U51,IF(AND(I48&gt;V51,I48&lt;=V52),V51,IF(AND(I48&gt;V52,I48&lt;=V53),V52,IF(I48&gt;U53,V53)))))))</f>
        <v>0</v>
      </c>
      <c r="J49" s="35"/>
      <c r="K49" s="84">
        <f>IF(AND(I48&gt;0,I48&lt;=V49),I48*0.085,IF(AND(I48&gt;V49,I48&lt;=V50),W49,IF(AND(I48&gt;V50,I48&lt;=V51),W50,IF(AND(I48&gt;V51,I48&lt;=V52),W51,IF(AND(I48&gt;V52,I48&lt;=V53),W52,IF(AND(I48&gt;V53),W53,0))))))</f>
        <v>0</v>
      </c>
      <c r="L49" s="50"/>
      <c r="M49" s="163"/>
      <c r="N49" s="60"/>
      <c r="O49" s="249"/>
      <c r="P49" s="52"/>
      <c r="Q49" s="164"/>
      <c r="R49" s="60"/>
      <c r="S49" s="46"/>
      <c r="T49" s="80"/>
      <c r="U49" s="237">
        <v>1100000</v>
      </c>
      <c r="V49" s="52">
        <f>U49</f>
        <v>1100000</v>
      </c>
      <c r="W49" s="90">
        <f>U49*0.085</f>
        <v>93500</v>
      </c>
      <c r="X49" s="47"/>
      <c r="Y49" s="225" t="s">
        <v>609</v>
      </c>
      <c r="Z49" s="47"/>
      <c r="AA49" s="47"/>
      <c r="AD49" s="47">
        <v>8</v>
      </c>
    </row>
    <row r="50" spans="2:30" ht="15" customHeight="1" thickBot="1">
      <c r="B50" s="5"/>
      <c r="C50" s="5"/>
      <c r="D50" s="5"/>
      <c r="E50" s="79">
        <f>IF(AND(I48&gt;0,I48&lt;=U49),8.5,IF(AND(I48&gt;U49,I48&lt;=V50),8,IF(AND(I48&gt;U50,I48&lt;=V51),7.5,IF(AND(I48&gt;U51,I48&lt;=V52),7,IF(AND(I48&gt;U52,I48&lt;=V53),6.5,IF(AND(I48&gt;V53),6,0))))))</f>
        <v>0</v>
      </c>
      <c r="F50" s="5" t="s">
        <v>24</v>
      </c>
      <c r="G50" s="5" t="s">
        <v>6</v>
      </c>
      <c r="H50" s="35"/>
      <c r="I50" s="84">
        <f>IF(I48&gt;=0,I48-I49)</f>
        <v>0</v>
      </c>
      <c r="J50" s="35"/>
      <c r="K50" s="84">
        <f>+(E50/100)*I50</f>
        <v>0</v>
      </c>
      <c r="L50" s="39"/>
      <c r="M50" s="163">
        <v>0</v>
      </c>
      <c r="N50" s="164"/>
      <c r="O50" s="243"/>
      <c r="P50" s="164"/>
      <c r="Q50" s="164"/>
      <c r="T50" s="92"/>
      <c r="U50" s="237">
        <v>4400000</v>
      </c>
      <c r="V50" s="52">
        <f>V49+U50</f>
        <v>5500000</v>
      </c>
      <c r="W50" s="90">
        <f>U49*0.085+U50*0.08</f>
        <v>445500</v>
      </c>
      <c r="X50" s="47"/>
      <c r="Y50" s="225" t="s">
        <v>610</v>
      </c>
      <c r="Z50" s="47"/>
      <c r="AA50" s="47"/>
      <c r="AD50" s="47">
        <v>9</v>
      </c>
    </row>
    <row r="51" spans="2:30" ht="20.25" customHeight="1" thickBot="1">
      <c r="B51" s="821" t="s">
        <v>26</v>
      </c>
      <c r="C51" s="5"/>
      <c r="D51" s="5"/>
      <c r="E51" s="5"/>
      <c r="F51" s="5"/>
      <c r="G51" s="5"/>
      <c r="H51" s="9"/>
      <c r="I51" s="11" t="s">
        <v>25</v>
      </c>
      <c r="J51" s="35"/>
      <c r="K51" s="84">
        <f>+K49+K50</f>
        <v>0</v>
      </c>
      <c r="L51" s="39"/>
      <c r="M51" s="163"/>
      <c r="N51" s="164"/>
      <c r="O51" s="243"/>
      <c r="P51" s="164"/>
      <c r="Q51" s="164"/>
      <c r="S51" s="54"/>
      <c r="T51" s="80"/>
      <c r="U51" s="237">
        <v>5500000</v>
      </c>
      <c r="V51" s="52">
        <f>V50+U51</f>
        <v>11000000</v>
      </c>
      <c r="W51" s="90">
        <f>U49*0.085+U50*0.08+U51*0.075</f>
        <v>858000</v>
      </c>
      <c r="X51" s="50"/>
      <c r="Y51" s="54"/>
      <c r="AD51" s="47">
        <v>10</v>
      </c>
    </row>
    <row r="52" spans="2:31" ht="14.25" customHeight="1">
      <c r="B52" s="271" t="s">
        <v>27</v>
      </c>
      <c r="C52" s="286"/>
      <c r="D52" s="286"/>
      <c r="E52" s="287"/>
      <c r="F52" s="287"/>
      <c r="G52" s="287"/>
      <c r="H52" s="288"/>
      <c r="I52" s="287"/>
      <c r="J52" s="261"/>
      <c r="K52" s="289"/>
      <c r="L52" s="263"/>
      <c r="M52" s="264"/>
      <c r="N52" s="262"/>
      <c r="O52" s="265"/>
      <c r="P52" s="266"/>
      <c r="Q52" s="164"/>
      <c r="S52" s="50"/>
      <c r="T52" s="80"/>
      <c r="U52" s="237">
        <v>22000000</v>
      </c>
      <c r="V52" s="52">
        <f>V51+U52</f>
        <v>33000000</v>
      </c>
      <c r="W52" s="90">
        <f>U49*0.085+U50*0.08+U51*0.075+U52*0.07</f>
        <v>2398000</v>
      </c>
      <c r="X52" s="50"/>
      <c r="Y52" s="50"/>
      <c r="AD52" s="47">
        <v>11</v>
      </c>
      <c r="AE52" s="46"/>
    </row>
    <row r="53" spans="2:31" ht="13.5" customHeight="1">
      <c r="B53" s="271" t="s">
        <v>4</v>
      </c>
      <c r="C53" s="5"/>
      <c r="D53" s="5"/>
      <c r="E53" s="5"/>
      <c r="F53" s="5"/>
      <c r="G53" s="5"/>
      <c r="H53" s="9"/>
      <c r="I53" s="5"/>
      <c r="J53" s="35"/>
      <c r="K53" s="12"/>
      <c r="L53" s="39"/>
      <c r="M53" s="163"/>
      <c r="N53" s="164"/>
      <c r="O53" s="243"/>
      <c r="P53" s="268"/>
      <c r="Q53" s="164"/>
      <c r="S53" s="50"/>
      <c r="T53" s="93"/>
      <c r="U53" s="238">
        <v>77000000</v>
      </c>
      <c r="V53" s="240">
        <f>V52+U53</f>
        <v>110000000</v>
      </c>
      <c r="W53" s="241">
        <f>U49*0.085+U50*0.08+U51*0.075+U52*0.07+U53*0.065</f>
        <v>7403000</v>
      </c>
      <c r="X53" s="50"/>
      <c r="Y53" s="50"/>
      <c r="AD53" s="47">
        <v>12</v>
      </c>
      <c r="AE53" s="49"/>
    </row>
    <row r="54" spans="2:31" ht="14.25" customHeight="1">
      <c r="B54" s="271" t="s">
        <v>5</v>
      </c>
      <c r="C54" s="5"/>
      <c r="D54" s="5"/>
      <c r="E54" s="5"/>
      <c r="F54" s="5"/>
      <c r="G54" s="5"/>
      <c r="H54" s="35"/>
      <c r="I54" s="84">
        <f>'PLANILLA ANEXA'!$L$42</f>
        <v>0</v>
      </c>
      <c r="J54" s="35"/>
      <c r="K54" s="12"/>
      <c r="L54" s="39"/>
      <c r="M54" s="163"/>
      <c r="N54" s="164"/>
      <c r="O54" s="243"/>
      <c r="P54" s="268"/>
      <c r="Q54" s="164"/>
      <c r="R54" s="164"/>
      <c r="S54" s="50"/>
      <c r="X54" s="52"/>
      <c r="Y54" s="50"/>
      <c r="AD54" s="47">
        <v>13</v>
      </c>
      <c r="AE54" s="49"/>
    </row>
    <row r="55" spans="2:31" ht="14.25" customHeight="1">
      <c r="B55" s="271" t="s">
        <v>23</v>
      </c>
      <c r="C55" s="5"/>
      <c r="D55" s="5"/>
      <c r="E55" s="5"/>
      <c r="F55" s="5"/>
      <c r="G55" s="5"/>
      <c r="H55" s="35"/>
      <c r="I55" s="84">
        <f>IF(I54&lt;=0,0,IF(AND(I54&gt;0,I54&lt;=T66),I54,IF(AND(I54&gt;T66,I54&lt;=T68),T66,IF(AND(I54&gt;U67,I54&lt;=U68),T68,IF(AND(I54&gt;U68,I54&lt;=U69),U68,IF(I54&gt;U69,U69))))))</f>
        <v>0</v>
      </c>
      <c r="J55" s="35"/>
      <c r="K55" s="84">
        <f>IF(AND(I54&gt;0,I54&lt;=T66),V66,IF(AND(I54&gt;T66,I54&lt;=T68),V66,IF(AND(I54&gt;T68,I54&lt;=U68),V67,IF(AND(I54&gt;U68,I54&lt;=U69),V68,IF(AND(I54&gt;U69),V69,0)))))</f>
        <v>0</v>
      </c>
      <c r="L55" s="39"/>
      <c r="M55" s="163"/>
      <c r="N55" s="164"/>
      <c r="O55" s="243"/>
      <c r="P55" s="268"/>
      <c r="Q55" s="164"/>
      <c r="R55" s="164"/>
      <c r="S55" s="50"/>
      <c r="X55" s="52"/>
      <c r="Y55" s="39"/>
      <c r="AD55" s="47">
        <v>14</v>
      </c>
      <c r="AE55" s="49"/>
    </row>
    <row r="56" spans="2:31" ht="12.75" customHeight="1" thickBot="1">
      <c r="B56" s="290"/>
      <c r="C56" s="5"/>
      <c r="D56" s="5"/>
      <c r="E56" s="83">
        <f>IF(AND(I54&gt;0,I54&lt;=T66),1.25,IF(AND(I54&gt;T66,I54&lt;=T68),1,IF(AND(I54&gt;T68,I54&lt;=U68),0.7,IF(AND(I54&gt;U68,I54&lt;=U69),0.5,IF(AND(I54&gt;U69),0.3,0)))))</f>
        <v>0</v>
      </c>
      <c r="F56" s="5" t="s">
        <v>24</v>
      </c>
      <c r="G56" s="5" t="s">
        <v>6</v>
      </c>
      <c r="H56" s="35"/>
      <c r="I56" s="84">
        <f>IF(I54&lt;12840,0,IF(I54&gt;=12840,I54-I55))</f>
        <v>0</v>
      </c>
      <c r="J56" s="35"/>
      <c r="K56" s="84">
        <f>(E56/100)*I56</f>
        <v>0</v>
      </c>
      <c r="L56" s="39"/>
      <c r="M56" s="163"/>
      <c r="N56" s="164"/>
      <c r="O56" s="243"/>
      <c r="P56" s="268"/>
      <c r="Q56" s="164"/>
      <c r="R56" s="164"/>
      <c r="S56" s="50"/>
      <c r="T56" s="102"/>
      <c r="X56" s="52"/>
      <c r="Y56" s="39"/>
      <c r="AD56" s="47">
        <v>15</v>
      </c>
      <c r="AE56" s="66"/>
    </row>
    <row r="57" spans="3:30" ht="15.75" customHeight="1" thickBot="1">
      <c r="C57" s="291"/>
      <c r="D57" s="291"/>
      <c r="E57" s="291"/>
      <c r="F57" s="291"/>
      <c r="G57" s="291"/>
      <c r="H57" s="291"/>
      <c r="I57" s="292" t="s">
        <v>63</v>
      </c>
      <c r="J57" s="293"/>
      <c r="K57" s="276">
        <f>+K55+K56</f>
        <v>0</v>
      </c>
      <c r="L57" s="275"/>
      <c r="M57" s="207" t="s">
        <v>78</v>
      </c>
      <c r="N57" s="294">
        <f>+P57</f>
        <v>0</v>
      </c>
      <c r="O57" s="295"/>
      <c r="P57" s="372">
        <f>IF('INGRESO DE DATOS'!G58="NO",0,IF(AND('PLANILLA DE CALCULOS '!K57&lt;'PLANILLA DE CALCULOS '!T57),V57,K57))</f>
        <v>0</v>
      </c>
      <c r="Q57" s="164"/>
      <c r="R57" s="84"/>
      <c r="S57" s="50"/>
      <c r="T57" s="531">
        <f>IF('INGRESO DE DATOS'!I77="CATEGORIA A",'INGRESO DE DATOS'!I143,'INGRESO DE DATOS'!I144)</f>
        <v>17600</v>
      </c>
      <c r="V57" s="333">
        <f>IF((P66+P73+P106+P96+P89+P82+P125+P134+P79+P159+P147)&gt;0,K57,T57)</f>
        <v>17600</v>
      </c>
      <c r="X57" s="52"/>
      <c r="Y57" s="59"/>
      <c r="AD57" s="47">
        <v>16</v>
      </c>
    </row>
    <row r="58" spans="2:30" ht="15" customHeight="1" thickBot="1">
      <c r="B58" s="845" t="s">
        <v>341</v>
      </c>
      <c r="R58" s="164"/>
      <c r="S58" s="50"/>
      <c r="X58" s="52"/>
      <c r="Y58" s="39"/>
      <c r="AD58" s="47">
        <v>17</v>
      </c>
    </row>
    <row r="59" spans="2:30" ht="15" customHeight="1">
      <c r="B59" s="958">
        <f>'INGRESO DE DATOS'!$G$53</f>
        <v>0</v>
      </c>
      <c r="C59" s="263"/>
      <c r="D59" s="821" t="s">
        <v>62</v>
      </c>
      <c r="E59" s="287"/>
      <c r="F59" s="287"/>
      <c r="G59" s="287"/>
      <c r="H59" s="287"/>
      <c r="I59" s="263"/>
      <c r="J59" s="287"/>
      <c r="K59" s="296"/>
      <c r="L59" s="263"/>
      <c r="M59" s="264"/>
      <c r="N59" s="262"/>
      <c r="O59" s="265"/>
      <c r="P59" s="266"/>
      <c r="Q59" s="164"/>
      <c r="R59" s="961"/>
      <c r="S59" s="39"/>
      <c r="T59" s="39"/>
      <c r="U59" s="39"/>
      <c r="V59" s="39"/>
      <c r="W59" s="39"/>
      <c r="X59" s="39"/>
      <c r="Y59" s="39"/>
      <c r="AD59" s="47">
        <v>18</v>
      </c>
    </row>
    <row r="60" spans="2:30" ht="15" customHeight="1">
      <c r="B60" s="959">
        <v>0.16</v>
      </c>
      <c r="C60" s="242" t="s">
        <v>857</v>
      </c>
      <c r="D60" s="39"/>
      <c r="E60" s="5"/>
      <c r="F60" s="5"/>
      <c r="G60" s="5"/>
      <c r="H60" s="5"/>
      <c r="I60" s="844">
        <f>$S$24</f>
        <v>0</v>
      </c>
      <c r="J60" s="5"/>
      <c r="K60" s="248"/>
      <c r="L60" s="39"/>
      <c r="M60" s="163"/>
      <c r="N60" s="164"/>
      <c r="O60" s="243"/>
      <c r="P60" s="268"/>
      <c r="Q60" s="164"/>
      <c r="R60" s="164"/>
      <c r="S60" s="39"/>
      <c r="T60" s="39"/>
      <c r="U60" s="39"/>
      <c r="V60" s="39"/>
      <c r="W60" s="39"/>
      <c r="X60" s="39"/>
      <c r="Y60" s="39"/>
      <c r="AD60" s="47"/>
    </row>
    <row r="61" spans="2:30" ht="13.5" customHeight="1">
      <c r="B61" s="846" t="str">
        <f>IF(T24&gt;0,T24,"0")</f>
        <v>0</v>
      </c>
      <c r="C61" s="242" t="s">
        <v>858</v>
      </c>
      <c r="D61" s="39"/>
      <c r="E61" s="5"/>
      <c r="F61" s="5"/>
      <c r="G61" s="5"/>
      <c r="H61" s="5"/>
      <c r="I61" s="843">
        <f>+I60*B59</f>
        <v>0</v>
      </c>
      <c r="J61" s="5"/>
      <c r="K61" s="248"/>
      <c r="L61" s="39"/>
      <c r="M61" s="163"/>
      <c r="N61" s="164"/>
      <c r="O61" s="243"/>
      <c r="P61" s="268"/>
      <c r="Q61" s="164"/>
      <c r="R61" s="961"/>
      <c r="S61" s="39"/>
      <c r="T61" s="39"/>
      <c r="U61" s="39"/>
      <c r="V61" s="39"/>
      <c r="W61" s="39"/>
      <c r="X61" s="39"/>
      <c r="Y61" s="39"/>
      <c r="AD61" s="47"/>
    </row>
    <row r="62" spans="2:30" ht="13.5" customHeight="1">
      <c r="B62" s="958" t="str">
        <f>IF('INGRESO DE DATOS'!G65="si",1.4,"0")</f>
        <v>0</v>
      </c>
      <c r="C62" s="242" t="s">
        <v>292</v>
      </c>
      <c r="D62" s="39"/>
      <c r="E62" s="5"/>
      <c r="F62" s="5"/>
      <c r="G62" s="5"/>
      <c r="H62" s="5"/>
      <c r="I62" s="84">
        <f>IF(I61&lt;=0,0,IF(AND(I61&gt;0,I61&lt;=U49),I61,IF(AND(I61&gt;U49,I61&lt;=U51),U49,IF(AND(I61&gt;U51,I61&lt;=V51),U51,IF(AND(I61&gt;V51,I61&lt;=V52),V51,IF(AND(I61&gt;V52,I61&lt;=V53),V52,IF(I61&gt;U53,V53)))))))</f>
        <v>0</v>
      </c>
      <c r="J62" s="5"/>
      <c r="K62" s="84">
        <f>IF(AND(I61&gt;0,I61&lt;=V49),I61*0.085,IF(AND(I61&gt;V49,I61&lt;=V50),W49,IF(AND(I61&gt;V50,I61&lt;=V51),W50,IF(AND(I61&gt;V51,I61&lt;=V52),W51,IF(AND(I61&gt;V52,I61&lt;=V53),W52,IF(AND(I61&gt;V53),W53,0))))))</f>
        <v>0</v>
      </c>
      <c r="L62" s="39"/>
      <c r="M62" s="163"/>
      <c r="N62" s="164"/>
      <c r="O62" s="243"/>
      <c r="P62" s="268"/>
      <c r="Q62" s="164"/>
      <c r="R62" s="164"/>
      <c r="S62" s="39"/>
      <c r="T62" s="94"/>
      <c r="U62" s="95" t="s">
        <v>78</v>
      </c>
      <c r="V62" s="75"/>
      <c r="W62" s="76"/>
      <c r="X62" s="52"/>
      <c r="Y62" s="50"/>
      <c r="AD62" s="47">
        <v>19</v>
      </c>
    </row>
    <row r="63" spans="2:30" ht="13.5" customHeight="1">
      <c r="B63" s="269"/>
      <c r="C63" s="164" t="str">
        <f>IF('INGRESO DE DATOS'!G65="si","Direccion CONT. SEP."," ")</f>
        <v> </v>
      </c>
      <c r="D63" s="39"/>
      <c r="E63" s="5"/>
      <c r="F63" s="5"/>
      <c r="G63" s="79">
        <f>IF(AND(I61&gt;0,I61&lt;=U49),8.5,IF(AND(I61&gt;U49,I61&lt;=V50),8,IF(AND(I61&gt;U50,I61&lt;=V51),7.5,IF(AND(I61&gt;U51,I61&lt;=V52),7,IF(AND(I61&gt;U52,I61&lt;=V53),6.5,IF(AND(I61&gt;V53),6,0))))))</f>
        <v>0</v>
      </c>
      <c r="H63" s="5"/>
      <c r="I63" s="84">
        <f>IF(I61&gt;=0,I61-I62,0)</f>
        <v>0</v>
      </c>
      <c r="J63" s="5"/>
      <c r="K63" s="84">
        <f>+(G63/100)*I63</f>
        <v>0</v>
      </c>
      <c r="L63" s="39"/>
      <c r="M63" s="163"/>
      <c r="N63" s="164"/>
      <c r="O63" s="243"/>
      <c r="P63" s="268"/>
      <c r="Q63" s="244"/>
      <c r="R63" s="244"/>
      <c r="S63" s="39"/>
      <c r="T63" s="38"/>
      <c r="U63" s="39"/>
      <c r="V63" s="39"/>
      <c r="W63" s="40"/>
      <c r="X63" s="52"/>
      <c r="Y63" s="82"/>
      <c r="AD63" s="47">
        <v>20</v>
      </c>
    </row>
    <row r="64" spans="2:30" ht="13.5" customHeight="1">
      <c r="B64" s="269"/>
      <c r="C64" s="164"/>
      <c r="D64" s="5"/>
      <c r="E64" s="5"/>
      <c r="F64" s="5"/>
      <c r="G64" s="14"/>
      <c r="H64" s="15"/>
      <c r="I64" s="39"/>
      <c r="J64" s="39"/>
      <c r="K64" s="84">
        <f>(+K62+K63)</f>
        <v>0</v>
      </c>
      <c r="L64" s="39"/>
      <c r="M64" s="163"/>
      <c r="N64" s="164"/>
      <c r="O64" s="243"/>
      <c r="P64" s="268"/>
      <c r="Q64" s="164"/>
      <c r="R64" s="164"/>
      <c r="S64" s="39"/>
      <c r="T64" s="235" t="s">
        <v>75</v>
      </c>
      <c r="U64" s="60" t="s">
        <v>76</v>
      </c>
      <c r="V64" s="60" t="s">
        <v>76</v>
      </c>
      <c r="W64" s="40"/>
      <c r="X64" s="52"/>
      <c r="Y64" s="82"/>
      <c r="AD64" s="47">
        <v>21</v>
      </c>
    </row>
    <row r="65" spans="2:30" ht="14.25" customHeight="1" thickBot="1">
      <c r="B65" s="290"/>
      <c r="C65" s="39"/>
      <c r="D65" s="11"/>
      <c r="E65" s="12"/>
      <c r="F65" s="13"/>
      <c r="G65" s="39"/>
      <c r="H65" s="39"/>
      <c r="I65" s="39"/>
      <c r="J65" s="5"/>
      <c r="K65" s="84">
        <f>+K64*B60</f>
        <v>0</v>
      </c>
      <c r="L65" s="39"/>
      <c r="M65" s="163"/>
      <c r="N65" s="164"/>
      <c r="O65" s="250"/>
      <c r="P65" s="268"/>
      <c r="Q65" s="164"/>
      <c r="R65" s="164"/>
      <c r="S65" s="39"/>
      <c r="T65" s="235"/>
      <c r="U65" s="60"/>
      <c r="V65" s="63">
        <v>0.0125</v>
      </c>
      <c r="W65" s="40"/>
      <c r="X65" s="52"/>
      <c r="Y65" s="82"/>
      <c r="AD65" s="47">
        <v>22</v>
      </c>
    </row>
    <row r="66" spans="2:30" ht="12.75" customHeight="1" thickBot="1">
      <c r="B66" s="5"/>
      <c r="C66" s="291"/>
      <c r="D66" s="291"/>
      <c r="E66" s="291"/>
      <c r="F66" s="291"/>
      <c r="G66" s="291"/>
      <c r="H66" s="275"/>
      <c r="I66" s="292" t="s">
        <v>25</v>
      </c>
      <c r="J66" s="291"/>
      <c r="K66" s="276">
        <f>IF(B62=1.4,((K65*(B62-1))+K65),K65)</f>
        <v>0</v>
      </c>
      <c r="L66" s="275"/>
      <c r="M66" s="207" t="s">
        <v>62</v>
      </c>
      <c r="N66" s="294">
        <f>+P66</f>
        <v>0</v>
      </c>
      <c r="O66" s="283"/>
      <c r="P66" s="960">
        <f>IF('INGRESO DE DATOS'!G64="SI",('PLANILLA DE CALCULOS '!K66),0)</f>
        <v>0</v>
      </c>
      <c r="Q66" s="164"/>
      <c r="R66" s="164"/>
      <c r="S66" s="39"/>
      <c r="T66" s="235">
        <v>220000</v>
      </c>
      <c r="U66" s="52">
        <f>T66</f>
        <v>220000</v>
      </c>
      <c r="V66" s="52">
        <f>T66*0.0125</f>
        <v>2750</v>
      </c>
      <c r="W66" s="40"/>
      <c r="X66" s="39"/>
      <c r="Y66" s="39"/>
      <c r="AD66" s="47">
        <v>23</v>
      </c>
    </row>
    <row r="67" spans="2:32" ht="12" customHeight="1" thickBot="1">
      <c r="B67" s="285" t="s">
        <v>28</v>
      </c>
      <c r="C67" s="5"/>
      <c r="D67" s="5"/>
      <c r="E67" s="5"/>
      <c r="F67" s="5"/>
      <c r="G67" s="5"/>
      <c r="H67" s="5"/>
      <c r="I67" s="5"/>
      <c r="J67" s="5"/>
      <c r="K67" s="9"/>
      <c r="L67" s="39"/>
      <c r="M67" s="163"/>
      <c r="N67" s="164"/>
      <c r="O67" s="243"/>
      <c r="P67" s="164"/>
      <c r="Q67" s="244"/>
      <c r="R67" s="244"/>
      <c r="S67" s="39"/>
      <c r="T67" s="235">
        <v>880000</v>
      </c>
      <c r="U67" s="52">
        <f>U66+T67</f>
        <v>1100000</v>
      </c>
      <c r="V67" s="52">
        <f>T66*0.0125+T67*0.01</f>
        <v>11550</v>
      </c>
      <c r="W67" s="40"/>
      <c r="X67" s="39"/>
      <c r="Y67" s="39"/>
      <c r="AD67" s="47">
        <v>24</v>
      </c>
      <c r="AF67" s="532"/>
    </row>
    <row r="68" spans="2:30" ht="13.5" customHeight="1">
      <c r="B68" s="298"/>
      <c r="C68" s="286"/>
      <c r="D68" s="286"/>
      <c r="E68" s="287"/>
      <c r="F68" s="287"/>
      <c r="G68" s="287"/>
      <c r="H68" s="287"/>
      <c r="I68" s="287"/>
      <c r="J68" s="287"/>
      <c r="K68" s="288"/>
      <c r="L68" s="263"/>
      <c r="M68" s="264"/>
      <c r="N68" s="262"/>
      <c r="O68" s="265"/>
      <c r="P68" s="266"/>
      <c r="Q68" s="244"/>
      <c r="S68" s="39"/>
      <c r="T68" s="235">
        <v>1100000</v>
      </c>
      <c r="U68" s="52">
        <f>U67+T68</f>
        <v>2200000</v>
      </c>
      <c r="V68" s="52">
        <f>T66*0.0125+T67*0.01+T68*0.007</f>
        <v>19250</v>
      </c>
      <c r="W68" s="40"/>
      <c r="X68" s="39"/>
      <c r="Y68" s="39"/>
      <c r="AD68" s="47">
        <v>25</v>
      </c>
    </row>
    <row r="69" spans="2:30" ht="12" customHeight="1">
      <c r="B69" s="271" t="s">
        <v>29</v>
      </c>
      <c r="C69" s="16"/>
      <c r="D69" s="16"/>
      <c r="E69" s="5"/>
      <c r="F69" s="5"/>
      <c r="G69" s="5"/>
      <c r="H69" s="5"/>
      <c r="I69" s="5"/>
      <c r="J69" s="5"/>
      <c r="K69" s="9"/>
      <c r="L69" s="39"/>
      <c r="M69" s="163"/>
      <c r="O69" s="243"/>
      <c r="Q69" s="164"/>
      <c r="R69" s="164"/>
      <c r="S69" s="39"/>
      <c r="T69" s="236">
        <v>3300000</v>
      </c>
      <c r="U69" s="240">
        <f>U68+T69</f>
        <v>5500000</v>
      </c>
      <c r="V69" s="240">
        <f>T66*0.0125+T67*0.01+T68*0.007+T69*0.005</f>
        <v>35750</v>
      </c>
      <c r="W69" s="78"/>
      <c r="X69" s="39"/>
      <c r="Y69" s="39"/>
      <c r="AD69" s="47">
        <v>26</v>
      </c>
    </row>
    <row r="70" spans="2:30" ht="12.75" customHeight="1">
      <c r="B70" s="271" t="s">
        <v>66</v>
      </c>
      <c r="C70" s="5"/>
      <c r="D70" s="5"/>
      <c r="E70" s="42">
        <f>IF('INGRESO DE DATOS'!G62="SI",50,60)</f>
        <v>60</v>
      </c>
      <c r="F70" s="5" t="s">
        <v>24</v>
      </c>
      <c r="G70" s="9" t="s">
        <v>30</v>
      </c>
      <c r="H70" s="254">
        <f>$K$51</f>
        <v>0</v>
      </c>
      <c r="I70" s="5"/>
      <c r="J70" s="35"/>
      <c r="K70" s="84">
        <f>(E70/100)*H70</f>
        <v>0</v>
      </c>
      <c r="L70" s="39"/>
      <c r="M70" s="163"/>
      <c r="N70" s="245"/>
      <c r="O70" s="243"/>
      <c r="P70" s="299">
        <f>IF('INGRESO DE DATOS'!G63="si",'PLANILLA DE CALCULOS '!K70,IF('INGRESO DE DATOS'!G63="si",K70,0))</f>
        <v>0</v>
      </c>
      <c r="Q70" s="164"/>
      <c r="R70" s="164"/>
      <c r="S70" s="39"/>
      <c r="T70" s="39"/>
      <c r="U70" s="39"/>
      <c r="V70" s="39"/>
      <c r="W70" s="39"/>
      <c r="X70" s="39"/>
      <c r="Y70" s="39"/>
      <c r="AD70" s="47">
        <v>27</v>
      </c>
    </row>
    <row r="71" spans="2:30" ht="13.5" customHeight="1">
      <c r="B71" s="271" t="s">
        <v>67</v>
      </c>
      <c r="C71" s="5"/>
      <c r="D71" s="5"/>
      <c r="E71" s="42">
        <f>IF('INGRESO DE DATOS'!G62="SI",30,40)</f>
        <v>40</v>
      </c>
      <c r="F71" s="5" t="s">
        <v>24</v>
      </c>
      <c r="G71" s="9" t="s">
        <v>30</v>
      </c>
      <c r="H71" s="254">
        <f>$K$51</f>
        <v>0</v>
      </c>
      <c r="I71" s="5"/>
      <c r="J71" s="35"/>
      <c r="K71" s="84">
        <f>(E71/100)*H71</f>
        <v>0</v>
      </c>
      <c r="L71" s="39"/>
      <c r="M71" s="39"/>
      <c r="N71" s="245"/>
      <c r="O71" s="243"/>
      <c r="P71" s="299">
        <f>IF('INGRESO DE DATOS'!G63="si",'PLANILLA DE CALCULOS '!K71,0)</f>
        <v>0</v>
      </c>
      <c r="Q71" s="244"/>
      <c r="R71" s="244"/>
      <c r="S71" s="39"/>
      <c r="T71" s="39"/>
      <c r="U71" s="39"/>
      <c r="V71" s="39"/>
      <c r="W71" s="39"/>
      <c r="X71" s="64"/>
      <c r="Y71" s="64"/>
      <c r="AD71" s="47">
        <v>28</v>
      </c>
    </row>
    <row r="72" spans="2:30" ht="15" customHeight="1">
      <c r="B72" s="271"/>
      <c r="C72" s="28"/>
      <c r="D72" s="28"/>
      <c r="E72" s="42">
        <f>IF('INGRESO DE DATOS'!G61="SI",100,200)</f>
        <v>200</v>
      </c>
      <c r="F72" s="5" t="s">
        <v>60</v>
      </c>
      <c r="G72" s="5" t="s">
        <v>61</v>
      </c>
      <c r="H72" s="254">
        <f>K71</f>
        <v>0</v>
      </c>
      <c r="I72" s="10" t="s">
        <v>8</v>
      </c>
      <c r="J72" s="35"/>
      <c r="K72" s="84">
        <f>IF('INGRESO DE DATOS'!G62="SI",K71*2,K71)</f>
        <v>0</v>
      </c>
      <c r="L72" s="39"/>
      <c r="M72" s="39"/>
      <c r="N72" s="245"/>
      <c r="O72" s="243"/>
      <c r="P72" s="299">
        <f>IF('INGRESO DE DATOS'!G63="si",'PLANILLA DE CALCULOS '!K72,0)</f>
        <v>0</v>
      </c>
      <c r="Q72" s="164"/>
      <c r="R72" s="164"/>
      <c r="S72" s="39"/>
      <c r="T72" s="94"/>
      <c r="U72" s="95" t="s">
        <v>79</v>
      </c>
      <c r="V72" s="75"/>
      <c r="W72" s="76"/>
      <c r="X72" s="64"/>
      <c r="Y72" s="64"/>
      <c r="AD72" s="47">
        <v>29</v>
      </c>
    </row>
    <row r="73" spans="2:30" ht="12.75" customHeight="1">
      <c r="B73" s="271"/>
      <c r="C73" s="5"/>
      <c r="D73" s="5"/>
      <c r="E73" s="42"/>
      <c r="F73" s="5"/>
      <c r="G73" s="5"/>
      <c r="H73" s="9"/>
      <c r="I73" s="10"/>
      <c r="J73" s="35"/>
      <c r="K73" s="248"/>
      <c r="L73" s="39"/>
      <c r="M73" s="163"/>
      <c r="N73" s="245"/>
      <c r="O73" s="243"/>
      <c r="P73" s="299">
        <f>+P70+P71+P72</f>
        <v>0</v>
      </c>
      <c r="Q73" s="244"/>
      <c r="R73" s="244"/>
      <c r="S73" s="39"/>
      <c r="T73" s="38"/>
      <c r="U73" s="39"/>
      <c r="V73" s="39"/>
      <c r="W73" s="40"/>
      <c r="X73" s="74"/>
      <c r="Y73" s="65"/>
      <c r="AD73" s="47">
        <v>30</v>
      </c>
    </row>
    <row r="74" spans="2:30" ht="15.75" customHeight="1">
      <c r="B74" s="298" t="s">
        <v>8</v>
      </c>
      <c r="C74" s="5"/>
      <c r="D74" s="5"/>
      <c r="E74" s="5"/>
      <c r="F74" s="5"/>
      <c r="G74" s="5"/>
      <c r="H74" s="11"/>
      <c r="I74" s="39"/>
      <c r="J74" s="35"/>
      <c r="K74" s="42"/>
      <c r="L74" s="39"/>
      <c r="M74" s="163"/>
      <c r="N74" s="164"/>
      <c r="O74" s="243"/>
      <c r="P74" s="268"/>
      <c r="Q74" s="244"/>
      <c r="R74" s="244"/>
      <c r="S74" s="39"/>
      <c r="T74" s="235" t="s">
        <v>75</v>
      </c>
      <c r="U74" s="60" t="s">
        <v>76</v>
      </c>
      <c r="V74" s="60" t="s">
        <v>76</v>
      </c>
      <c r="W74" s="40"/>
      <c r="X74" s="74"/>
      <c r="Y74" s="77"/>
      <c r="AD74" s="47">
        <v>31</v>
      </c>
    </row>
    <row r="75" spans="2:30" ht="12" customHeight="1">
      <c r="B75" s="269"/>
      <c r="C75" s="16"/>
      <c r="D75" s="16"/>
      <c r="E75" s="5"/>
      <c r="F75" s="5"/>
      <c r="G75" s="5"/>
      <c r="H75" s="5"/>
      <c r="I75" s="5"/>
      <c r="J75" s="35"/>
      <c r="K75" s="9"/>
      <c r="L75" s="39"/>
      <c r="M75" s="163"/>
      <c r="N75" s="245"/>
      <c r="O75" s="246"/>
      <c r="P75" s="301">
        <f>IF('INGRESO DE DATOS'!G62="si",'PLANILLA DE CALCULOS '!K70,IF('INGRESO DE DATOS'!G61="si",K70,0))</f>
        <v>0</v>
      </c>
      <c r="Q75" s="244"/>
      <c r="R75" s="244"/>
      <c r="S75" s="39"/>
      <c r="T75" s="235"/>
      <c r="U75" s="60"/>
      <c r="V75" s="63">
        <v>0.02</v>
      </c>
      <c r="W75" s="40"/>
      <c r="X75" s="74"/>
      <c r="Y75" s="77"/>
      <c r="AD75" s="47">
        <v>32</v>
      </c>
    </row>
    <row r="76" spans="2:30" ht="12" customHeight="1">
      <c r="B76" s="269"/>
      <c r="C76" s="39"/>
      <c r="D76" s="17" t="s">
        <v>314</v>
      </c>
      <c r="E76" s="17"/>
      <c r="F76" s="1465" t="str">
        <f>IF('INGRESO DE DATOS'!G63="SI","Direccion Ejecutiva","Direccion P/Contratos Separados")</f>
        <v>Direccion P/Contratos Separados</v>
      </c>
      <c r="G76" s="1465"/>
      <c r="H76" s="1465"/>
      <c r="I76" s="1465"/>
      <c r="J76" s="39"/>
      <c r="K76" s="84">
        <f>+SUM(K70:K72)</f>
        <v>0</v>
      </c>
      <c r="L76" s="39"/>
      <c r="M76" s="163"/>
      <c r="N76" s="245"/>
      <c r="O76" s="243"/>
      <c r="P76" s="301">
        <f>IF('INGRESO DE DATOS'!G62="si",'PLANILLA DE CALCULOS '!K71,0)</f>
        <v>0</v>
      </c>
      <c r="Q76" s="164"/>
      <c r="R76" s="164"/>
      <c r="S76" s="39"/>
      <c r="T76" s="235">
        <v>110000</v>
      </c>
      <c r="U76" s="52">
        <f>T76</f>
        <v>110000</v>
      </c>
      <c r="V76" s="52">
        <f>T76*0.02</f>
        <v>2200</v>
      </c>
      <c r="W76" s="40"/>
      <c r="X76" s="64"/>
      <c r="Y76" s="77"/>
      <c r="AD76" s="47">
        <v>33</v>
      </c>
    </row>
    <row r="77" spans="2:30" ht="12.75">
      <c r="B77" s="302"/>
      <c r="C77" s="39"/>
      <c r="D77" s="39"/>
      <c r="E77" s="39"/>
      <c r="F77" s="39"/>
      <c r="G77" s="39"/>
      <c r="H77" s="39"/>
      <c r="I77" s="39"/>
      <c r="J77" s="39"/>
      <c r="K77" s="84"/>
      <c r="L77" s="39"/>
      <c r="M77" s="163"/>
      <c r="N77" s="245"/>
      <c r="O77" s="243"/>
      <c r="P77" s="301">
        <f>IF('INGRESO DE DATOS'!G62="si",'PLANILLA DE CALCULOS '!K72,0)</f>
        <v>0</v>
      </c>
      <c r="Q77" s="244"/>
      <c r="R77" s="42">
        <f>IF('INGRESO DE DATOS'!G62="SI",200,100)</f>
        <v>100</v>
      </c>
      <c r="S77" s="39"/>
      <c r="T77" s="235">
        <v>440000</v>
      </c>
      <c r="U77" s="52">
        <f>U76+T77</f>
        <v>550000</v>
      </c>
      <c r="V77" s="52">
        <f>T76*0.02+T77*0.015</f>
        <v>8800</v>
      </c>
      <c r="W77" s="40"/>
      <c r="X77" s="50"/>
      <c r="Y77" s="54"/>
      <c r="AD77" s="47">
        <v>34</v>
      </c>
    </row>
    <row r="78" spans="2:30" ht="13.5" thickBot="1">
      <c r="B78" s="290" t="s">
        <v>8</v>
      </c>
      <c r="C78" s="28"/>
      <c r="D78" s="28"/>
      <c r="E78" s="16"/>
      <c r="F78" s="5"/>
      <c r="G78" s="11" t="s">
        <v>305</v>
      </c>
      <c r="H78" s="39"/>
      <c r="I78" s="10"/>
      <c r="J78" s="35"/>
      <c r="K78" s="84">
        <f>$K$76</f>
        <v>0</v>
      </c>
      <c r="L78" s="39"/>
      <c r="M78" s="163"/>
      <c r="N78" s="164"/>
      <c r="O78" s="243"/>
      <c r="P78" s="268"/>
      <c r="Q78" s="164"/>
      <c r="R78" s="164"/>
      <c r="S78" s="39"/>
      <c r="T78" s="235">
        <v>550000</v>
      </c>
      <c r="U78" s="52">
        <f>U77+T78</f>
        <v>1100000</v>
      </c>
      <c r="V78" s="52">
        <f>T76*0.02+T77*0.015+T78*0.01</f>
        <v>14300</v>
      </c>
      <c r="W78" s="40"/>
      <c r="AD78" s="47">
        <v>35</v>
      </c>
    </row>
    <row r="79" spans="2:30" ht="13.5" thickBot="1">
      <c r="B79" s="51"/>
      <c r="C79" s="291"/>
      <c r="D79" s="291"/>
      <c r="E79" s="303" t="s">
        <v>8</v>
      </c>
      <c r="F79" s="291" t="s">
        <v>8</v>
      </c>
      <c r="G79" s="291" t="s">
        <v>8</v>
      </c>
      <c r="H79" s="297" t="s">
        <v>8</v>
      </c>
      <c r="I79" s="292"/>
      <c r="J79" s="293"/>
      <c r="K79" s="304"/>
      <c r="L79" s="275"/>
      <c r="M79" s="207"/>
      <c r="N79" s="294"/>
      <c r="O79" s="283"/>
      <c r="P79" s="305">
        <f>+P75+P76+P77</f>
        <v>0</v>
      </c>
      <c r="Q79" s="244"/>
      <c r="R79" s="244"/>
      <c r="S79" s="39"/>
      <c r="T79" s="236">
        <v>9900000</v>
      </c>
      <c r="U79" s="240">
        <f>U78+T79</f>
        <v>11000000</v>
      </c>
      <c r="V79" s="240">
        <f>T76*0.02+T77*0.015+T78*0.01+T79*0.008</f>
        <v>93500</v>
      </c>
      <c r="W79" s="78"/>
      <c r="AA79" s="205">
        <f>IF(AND(I153&gt;0,I153&lt;=U87),5,IF(AND(I153&gt;U87,I153&lt;=U88),5,IF(AND(I153&gt;U88,I153&lt;=U89),4,IF(AND(I153&gt;U89,I153&lt;=U90),3,IF(AND(I153&gt;U90,I153&lt;=U91),2.5,IF(AND(I153&gt;U91),2,0))))))</f>
        <v>0</v>
      </c>
      <c r="AD79" s="47">
        <v>36</v>
      </c>
    </row>
    <row r="80" spans="2:30" ht="21" thickBot="1">
      <c r="B80" s="821" t="s">
        <v>15</v>
      </c>
      <c r="C80" s="50"/>
      <c r="D80" s="50"/>
      <c r="E80" s="56"/>
      <c r="F80" s="57"/>
      <c r="G80" s="55"/>
      <c r="H80" s="50"/>
      <c r="I80" s="54"/>
      <c r="J80" s="39"/>
      <c r="K80" s="164"/>
      <c r="L80" s="39"/>
      <c r="M80" s="163"/>
      <c r="N80" s="164"/>
      <c r="O80" s="243"/>
      <c r="P80" s="164"/>
      <c r="Q80" s="244"/>
      <c r="R80" s="244"/>
      <c r="S80" s="39"/>
      <c r="T80" s="39"/>
      <c r="U80" s="39"/>
      <c r="V80" s="39"/>
      <c r="W80" s="39"/>
      <c r="AD80" s="47">
        <v>37</v>
      </c>
    </row>
    <row r="81" spans="2:30" ht="12.75">
      <c r="B81" s="271" t="s">
        <v>29</v>
      </c>
      <c r="C81" s="256"/>
      <c r="D81" s="256"/>
      <c r="E81" s="257"/>
      <c r="F81" s="258"/>
      <c r="G81" s="259"/>
      <c r="H81" s="256"/>
      <c r="I81" s="260"/>
      <c r="J81" s="263"/>
      <c r="K81" s="262"/>
      <c r="L81" s="263"/>
      <c r="M81" s="264"/>
      <c r="N81" s="262"/>
      <c r="O81" s="265"/>
      <c r="P81" s="279"/>
      <c r="Q81" s="244"/>
      <c r="R81" s="244"/>
      <c r="S81" s="39"/>
      <c r="T81" s="39"/>
      <c r="U81" s="39"/>
      <c r="V81" s="39"/>
      <c r="W81" s="39"/>
      <c r="AD81" s="47">
        <v>38</v>
      </c>
    </row>
    <row r="82" spans="2:30" ht="12.75">
      <c r="B82" s="271"/>
      <c r="C82" s="50"/>
      <c r="D82" s="50"/>
      <c r="E82" s="42">
        <f>IF('INGRESO DE DATOS'!G62="SI",50,60)</f>
        <v>60</v>
      </c>
      <c r="F82" s="5" t="s">
        <v>24</v>
      </c>
      <c r="G82" s="9" t="s">
        <v>30</v>
      </c>
      <c r="H82" s="254">
        <f>$K$51</f>
        <v>0</v>
      </c>
      <c r="I82" s="54"/>
      <c r="J82" s="35"/>
      <c r="K82" s="84">
        <f>(E82/100)*H82</f>
        <v>0</v>
      </c>
      <c r="L82" s="39"/>
      <c r="M82" s="163"/>
      <c r="N82" s="245">
        <f>+P82</f>
        <v>0</v>
      </c>
      <c r="O82" s="246"/>
      <c r="P82" s="306">
        <f>IF('INGRESO DE DATOS'!G59="si",'PLANILLA DE CALCULOS '!K82,0)</f>
        <v>0</v>
      </c>
      <c r="Q82" s="244"/>
      <c r="R82" s="244"/>
      <c r="S82" s="39"/>
      <c r="AD82" s="47">
        <v>39</v>
      </c>
    </row>
    <row r="83" spans="2:30" ht="12.75">
      <c r="B83" s="271"/>
      <c r="C83" s="50"/>
      <c r="D83" s="50"/>
      <c r="E83" s="42"/>
      <c r="F83" s="5"/>
      <c r="G83" s="9"/>
      <c r="H83" s="42"/>
      <c r="I83" s="54"/>
      <c r="J83" s="35"/>
      <c r="K83" s="84"/>
      <c r="L83" s="39"/>
      <c r="M83" s="163"/>
      <c r="N83" s="164"/>
      <c r="O83" s="243"/>
      <c r="P83" s="270"/>
      <c r="Q83" s="244"/>
      <c r="R83" s="244"/>
      <c r="S83" s="39"/>
      <c r="AD83" s="47">
        <v>40</v>
      </c>
    </row>
    <row r="84" spans="2:30" ht="13.5" thickBot="1">
      <c r="B84" s="307"/>
      <c r="C84" s="50"/>
      <c r="D84" s="50"/>
      <c r="E84" s="42"/>
      <c r="F84" s="5"/>
      <c r="G84" s="5"/>
      <c r="H84" s="42"/>
      <c r="I84" s="54"/>
      <c r="J84" s="35"/>
      <c r="K84" s="42"/>
      <c r="L84" s="39"/>
      <c r="M84" s="163"/>
      <c r="N84" s="164"/>
      <c r="O84" s="243"/>
      <c r="P84" s="270"/>
      <c r="Q84" s="244"/>
      <c r="R84" s="244"/>
      <c r="S84" s="39"/>
      <c r="T84" s="85"/>
      <c r="U84" s="96"/>
      <c r="V84" s="95" t="s">
        <v>96</v>
      </c>
      <c r="W84" s="89"/>
      <c r="Z84" s="84">
        <f>IF(I153&lt;=0,0,IF(AND(I153&gt;0,I153&lt;=U87),I153,IF(AND(I153&gt;U87,I153&lt;=U89),U87,IF(AND(I153&gt;U89,I153&lt;=V89),U89,IF(AND(I153&gt;V89,I153&lt;=V90),V89,IF(AND(I153&gt;V90,I153&lt;=V91),V90,IF(AND(I153&gt;U91,184&lt;=V91),V91)))))))</f>
        <v>0</v>
      </c>
      <c r="AB84" s="84">
        <f>IF(AND(I153&gt;0,I153&lt;=V87),I153*0.05,IF(AND(I153&gt;V87,I153&lt;=V88),W87,IF(AND(I153&gt;V88,I153&lt;=V89),W88,IF(AND(I153&gt;V89,I153&lt;=V90),W89,IF(AND(I153&gt;V90,I153&lt;=V91),W90,IF(AND(I153&gt;V91),W91,0))))))</f>
        <v>0</v>
      </c>
      <c r="AD84" s="47">
        <v>41</v>
      </c>
    </row>
    <row r="85" spans="2:30" ht="13.5" thickBot="1">
      <c r="B85" s="39"/>
      <c r="C85" s="308"/>
      <c r="D85" s="308"/>
      <c r="E85" s="309"/>
      <c r="F85" s="310"/>
      <c r="G85" s="311"/>
      <c r="H85" s="308"/>
      <c r="I85" s="312"/>
      <c r="J85" s="293"/>
      <c r="K85" s="282"/>
      <c r="L85" s="275"/>
      <c r="M85" s="207"/>
      <c r="N85" s="282"/>
      <c r="O85" s="283"/>
      <c r="P85" s="313"/>
      <c r="Q85" s="244"/>
      <c r="R85" s="244"/>
      <c r="S85" s="39"/>
      <c r="T85" s="80"/>
      <c r="U85" s="52" t="s">
        <v>75</v>
      </c>
      <c r="V85" s="52" t="s">
        <v>76</v>
      </c>
      <c r="W85" s="90" t="s">
        <v>76</v>
      </c>
      <c r="AD85" s="47">
        <v>42</v>
      </c>
    </row>
    <row r="86" spans="2:30" ht="15.75" thickBot="1">
      <c r="B86" s="242"/>
      <c r="C86" s="39"/>
      <c r="D86" s="39"/>
      <c r="E86" s="39"/>
      <c r="F86" s="39"/>
      <c r="G86" s="39"/>
      <c r="H86" s="39"/>
      <c r="I86" s="39"/>
      <c r="J86" s="39"/>
      <c r="K86" s="164"/>
      <c r="L86" s="39"/>
      <c r="M86" s="163"/>
      <c r="N86" s="164"/>
      <c r="O86" s="243"/>
      <c r="P86" s="244"/>
      <c r="Q86" s="244"/>
      <c r="R86" s="244"/>
      <c r="S86" s="39"/>
      <c r="T86" s="80"/>
      <c r="U86" s="52"/>
      <c r="V86" s="52"/>
      <c r="W86" s="91">
        <v>0.05</v>
      </c>
      <c r="AD86" s="47">
        <v>43</v>
      </c>
    </row>
    <row r="87" spans="2:30" ht="21" thickBot="1">
      <c r="B87" s="821" t="s">
        <v>321</v>
      </c>
      <c r="C87" s="39"/>
      <c r="D87" s="39"/>
      <c r="E87" s="39"/>
      <c r="F87" s="39"/>
      <c r="G87" s="39"/>
      <c r="H87" s="39"/>
      <c r="I87" s="39"/>
      <c r="J87" s="39"/>
      <c r="K87" s="164"/>
      <c r="L87" s="39"/>
      <c r="M87" s="163"/>
      <c r="N87" s="164"/>
      <c r="O87" s="243"/>
      <c r="P87" s="244"/>
      <c r="Q87" s="244"/>
      <c r="R87" s="244"/>
      <c r="T87" s="80"/>
      <c r="U87" s="237">
        <v>1100000</v>
      </c>
      <c r="V87" s="52">
        <f>U87</f>
        <v>1100000</v>
      </c>
      <c r="W87" s="90">
        <f>U87*0.05</f>
        <v>55000</v>
      </c>
      <c r="AD87" s="47">
        <v>44</v>
      </c>
    </row>
    <row r="88" spans="2:30" ht="12.75">
      <c r="B88" s="271" t="s">
        <v>66</v>
      </c>
      <c r="C88" s="256"/>
      <c r="D88" s="256"/>
      <c r="E88" s="314"/>
      <c r="F88" s="287"/>
      <c r="G88" s="288"/>
      <c r="H88" s="314"/>
      <c r="I88" s="260"/>
      <c r="J88" s="261"/>
      <c r="K88" s="314"/>
      <c r="L88" s="263"/>
      <c r="M88" s="264"/>
      <c r="N88" s="262"/>
      <c r="O88" s="265"/>
      <c r="P88" s="279"/>
      <c r="Q88" s="244"/>
      <c r="R88" s="244"/>
      <c r="T88" s="92"/>
      <c r="U88" s="237">
        <v>4400000</v>
      </c>
      <c r="V88" s="52">
        <f aca="true" t="shared" si="7" ref="V88:V93">V87+U88</f>
        <v>5500000</v>
      </c>
      <c r="W88" s="90">
        <f>U87*0.05+U88*0.04</f>
        <v>231000</v>
      </c>
      <c r="AD88" s="47">
        <v>45</v>
      </c>
    </row>
    <row r="89" spans="2:30" ht="13.5" thickBot="1">
      <c r="B89" s="290"/>
      <c r="C89" s="50"/>
      <c r="D89" s="50"/>
      <c r="E89" s="42">
        <f>IF('INGRESO DE DATOS'!G62="SI",30,40)</f>
        <v>40</v>
      </c>
      <c r="F89" s="5" t="s">
        <v>24</v>
      </c>
      <c r="G89" s="9" t="s">
        <v>30</v>
      </c>
      <c r="H89" s="254">
        <f>$K$51</f>
        <v>0</v>
      </c>
      <c r="I89" s="54"/>
      <c r="J89" s="35"/>
      <c r="K89" s="84">
        <f>(E89/100)*H89</f>
        <v>0</v>
      </c>
      <c r="L89" s="39"/>
      <c r="M89" s="163"/>
      <c r="N89" s="245">
        <f>+P89</f>
        <v>0</v>
      </c>
      <c r="O89" s="246"/>
      <c r="P89" s="315">
        <f>IF('INGRESO DE DATOS'!G60="si",'PLANILLA DE CALCULOS '!K89,0)</f>
        <v>0</v>
      </c>
      <c r="Q89" s="244"/>
      <c r="R89" s="244"/>
      <c r="T89" s="80"/>
      <c r="U89" s="237">
        <v>5500000</v>
      </c>
      <c r="V89" s="52">
        <f t="shared" si="7"/>
        <v>11000000</v>
      </c>
      <c r="W89" s="90">
        <f>U87*0.05+U88*0.04+U89*0.03</f>
        <v>396000</v>
      </c>
      <c r="AD89" s="47">
        <v>46</v>
      </c>
    </row>
    <row r="90" spans="2:30" ht="13.5" thickBot="1">
      <c r="B90" s="51"/>
      <c r="C90" s="316"/>
      <c r="D90" s="316"/>
      <c r="E90" s="317"/>
      <c r="F90" s="291"/>
      <c r="G90" s="291"/>
      <c r="H90" s="317"/>
      <c r="I90" s="318"/>
      <c r="J90" s="293"/>
      <c r="K90" s="276"/>
      <c r="L90" s="275"/>
      <c r="M90" s="207"/>
      <c r="N90" s="282"/>
      <c r="O90" s="283"/>
      <c r="P90" s="313"/>
      <c r="Q90" s="244"/>
      <c r="R90" s="244"/>
      <c r="T90" s="80"/>
      <c r="U90" s="237">
        <v>11000000</v>
      </c>
      <c r="V90" s="52">
        <f t="shared" si="7"/>
        <v>22000000</v>
      </c>
      <c r="W90" s="90">
        <f>U87*0.05+U88*0.04+U89*0.03+U90*0.025</f>
        <v>671000</v>
      </c>
      <c r="AD90" s="47">
        <v>47</v>
      </c>
    </row>
    <row r="91" spans="2:30" ht="21" thickBot="1">
      <c r="B91" s="821" t="s">
        <v>337</v>
      </c>
      <c r="C91" s="50"/>
      <c r="D91" s="50"/>
      <c r="E91" s="56"/>
      <c r="F91" s="57"/>
      <c r="G91" s="55"/>
      <c r="H91" s="50"/>
      <c r="I91" s="54"/>
      <c r="J91" s="35"/>
      <c r="K91" s="164"/>
      <c r="L91" s="39"/>
      <c r="M91" s="163"/>
      <c r="N91" s="164"/>
      <c r="O91" s="243"/>
      <c r="P91" s="244"/>
      <c r="Q91" s="244"/>
      <c r="R91" s="244"/>
      <c r="S91" s="39"/>
      <c r="T91" s="80"/>
      <c r="U91" s="237">
        <v>22000000</v>
      </c>
      <c r="V91" s="52">
        <f t="shared" si="7"/>
        <v>44000000</v>
      </c>
      <c r="W91" s="90">
        <f>U87*0.05+U88*0.04+U89*0.03+U90*0.025+U91*0.02</f>
        <v>1111000</v>
      </c>
      <c r="AD91" s="47">
        <v>48</v>
      </c>
    </row>
    <row r="92" spans="2:30" ht="12.75">
      <c r="B92" s="271" t="s">
        <v>29</v>
      </c>
      <c r="C92" s="263"/>
      <c r="D92" s="263"/>
      <c r="E92" s="263"/>
      <c r="F92" s="263"/>
      <c r="G92" s="263"/>
      <c r="H92" s="263"/>
      <c r="I92" s="263"/>
      <c r="J92" s="263"/>
      <c r="K92" s="262"/>
      <c r="L92" s="263"/>
      <c r="M92" s="264"/>
      <c r="N92" s="262"/>
      <c r="O92" s="265"/>
      <c r="P92" s="279"/>
      <c r="Q92" s="164"/>
      <c r="R92" s="164"/>
      <c r="S92" s="39"/>
      <c r="T92" s="38"/>
      <c r="U92" s="237">
        <v>44000000</v>
      </c>
      <c r="V92" s="52">
        <f t="shared" si="7"/>
        <v>88000000</v>
      </c>
      <c r="W92" s="90">
        <f>U87*0.05+U88*0.04+U89*0.03+U90*0.025+U91*0.02+U92*0.015</f>
        <v>1771000</v>
      </c>
      <c r="AD92" s="47">
        <v>49</v>
      </c>
    </row>
    <row r="93" spans="2:30" ht="12.75">
      <c r="B93" s="271" t="s">
        <v>66</v>
      </c>
      <c r="C93" s="50"/>
      <c r="D93" s="50"/>
      <c r="E93" s="42">
        <f>IF('INGRESO DE DATOS'!G62="SI",50,60)</f>
        <v>60</v>
      </c>
      <c r="F93" s="5" t="s">
        <v>24</v>
      </c>
      <c r="G93" s="9" t="s">
        <v>30</v>
      </c>
      <c r="H93" s="254">
        <f>$K$51</f>
        <v>0</v>
      </c>
      <c r="I93" s="54"/>
      <c r="J93" s="35"/>
      <c r="K93" s="84">
        <f>(E93/100)*H93</f>
        <v>0</v>
      </c>
      <c r="L93" s="39"/>
      <c r="M93" s="163"/>
      <c r="N93" s="245"/>
      <c r="O93" s="243"/>
      <c r="P93" s="299">
        <f>IF('INGRESO DE DATOS'!BA48="si",'PLANILLA DE CALCULOS '!K93,0)</f>
        <v>0</v>
      </c>
      <c r="Q93" s="164"/>
      <c r="R93" s="164"/>
      <c r="S93" s="39"/>
      <c r="T93" s="81"/>
      <c r="U93" s="238">
        <v>88000000</v>
      </c>
      <c r="V93" s="240">
        <f t="shared" si="7"/>
        <v>176000000</v>
      </c>
      <c r="W93" s="241">
        <f>U87*0.05+U88*0.04+U89*0.03+U90*0.025+U91*0.02+U92*0.015+U93*0.01</f>
        <v>2651000</v>
      </c>
      <c r="AD93" s="47">
        <v>50</v>
      </c>
    </row>
    <row r="94" spans="2:30" ht="12.75">
      <c r="B94" s="269"/>
      <c r="C94" s="50"/>
      <c r="D94" s="50"/>
      <c r="E94" s="42">
        <f>IF('INGRESO DE DATOS'!G62="SI",30,40)</f>
        <v>40</v>
      </c>
      <c r="F94" s="5" t="s">
        <v>24</v>
      </c>
      <c r="G94" s="9" t="s">
        <v>30</v>
      </c>
      <c r="H94" s="254">
        <f>$K$51</f>
        <v>0</v>
      </c>
      <c r="I94" s="54"/>
      <c r="J94" s="35"/>
      <c r="K94" s="84">
        <f>(E94/100)*H94</f>
        <v>0</v>
      </c>
      <c r="L94" s="39"/>
      <c r="M94" s="163"/>
      <c r="N94" s="245"/>
      <c r="O94" s="243"/>
      <c r="P94" s="300">
        <f>IF('INGRESO DE DATOS'!BA48="si",'PLANILLA DE CALCULOS '!K94,0)</f>
        <v>0</v>
      </c>
      <c r="Q94" s="244"/>
      <c r="R94" s="677" t="s">
        <v>830</v>
      </c>
      <c r="S94" s="678" t="s">
        <v>507</v>
      </c>
      <c r="AD94" s="47">
        <v>51</v>
      </c>
    </row>
    <row r="95" spans="2:30" ht="12.75">
      <c r="B95" s="269"/>
      <c r="C95" s="39"/>
      <c r="D95" s="39"/>
      <c r="E95" s="39"/>
      <c r="F95" s="39"/>
      <c r="G95" s="39"/>
      <c r="H95" s="39"/>
      <c r="I95" s="39"/>
      <c r="J95" s="39"/>
      <c r="K95" s="164"/>
      <c r="L95" s="39"/>
      <c r="M95" s="163"/>
      <c r="N95" s="164"/>
      <c r="O95" s="243"/>
      <c r="P95" s="268"/>
      <c r="Q95" s="164"/>
      <c r="R95" s="679" t="s">
        <v>831</v>
      </c>
      <c r="S95" s="680" t="s">
        <v>507</v>
      </c>
      <c r="AD95" s="47">
        <v>52</v>
      </c>
    </row>
    <row r="96" spans="2:30" ht="13.5" thickBot="1">
      <c r="B96" s="274"/>
      <c r="C96" s="39"/>
      <c r="D96" s="39"/>
      <c r="E96" s="39"/>
      <c r="F96" s="39"/>
      <c r="G96" s="39"/>
      <c r="H96" s="39"/>
      <c r="I96" s="39"/>
      <c r="J96" s="39"/>
      <c r="K96" s="164"/>
      <c r="L96" s="39"/>
      <c r="M96" s="163"/>
      <c r="N96" s="245"/>
      <c r="O96" s="243"/>
      <c r="P96" s="299">
        <f>P93+P94</f>
        <v>0</v>
      </c>
      <c r="S96" s="39"/>
      <c r="U96" s="60"/>
      <c r="V96" s="60"/>
      <c r="AD96" s="47">
        <v>53</v>
      </c>
    </row>
    <row r="97" spans="3:30" ht="15.75" thickBot="1">
      <c r="C97" s="275"/>
      <c r="D97" s="275"/>
      <c r="E97" s="275"/>
      <c r="F97" s="275"/>
      <c r="G97" s="275"/>
      <c r="H97" s="275"/>
      <c r="I97" s="275"/>
      <c r="J97" s="275"/>
      <c r="K97" s="282"/>
      <c r="L97" s="275"/>
      <c r="M97" s="207"/>
      <c r="N97" s="282"/>
      <c r="O97" s="283"/>
      <c r="P97" s="284"/>
      <c r="Q97" s="164"/>
      <c r="R97" s="164"/>
      <c r="S97" s="255" t="s">
        <v>829</v>
      </c>
      <c r="U97" s="60"/>
      <c r="V97" s="60"/>
      <c r="AD97" s="47">
        <v>54</v>
      </c>
    </row>
    <row r="98" spans="2:30" ht="21" thickBot="1">
      <c r="B98" s="821" t="str">
        <f>IF('INGRESO DE DATOS'!G62="si","Y DIRECCION EJECUTIVA 50 - 30%","Y DIRECCION EJECUTIVA 60 - 40%")</f>
        <v>Y DIRECCION EJECUTIVA 60 - 40%</v>
      </c>
      <c r="L98" s="39"/>
      <c r="M98" s="163"/>
      <c r="Q98" s="164"/>
      <c r="R98" s="164"/>
      <c r="S98" s="39"/>
      <c r="U98" s="60"/>
      <c r="V98" s="60"/>
      <c r="AD98" s="47">
        <v>55</v>
      </c>
    </row>
    <row r="99" spans="2:30" ht="15">
      <c r="B99" s="681"/>
      <c r="C99" s="256"/>
      <c r="D99" s="256"/>
      <c r="E99" s="257"/>
      <c r="F99" s="258"/>
      <c r="G99" s="259"/>
      <c r="H99" s="256"/>
      <c r="I99" s="260"/>
      <c r="J99" s="261"/>
      <c r="K99" s="262"/>
      <c r="L99" s="263"/>
      <c r="M99" s="264"/>
      <c r="N99" s="262"/>
      <c r="O99" s="265"/>
      <c r="P99" s="266"/>
      <c r="Q99" s="164"/>
      <c r="R99" s="164"/>
      <c r="S99" s="39"/>
      <c r="U99" s="60"/>
      <c r="V99" s="60"/>
      <c r="AD99" s="47">
        <v>56</v>
      </c>
    </row>
    <row r="100" spans="2:30" ht="12.75">
      <c r="B100" s="267"/>
      <c r="C100" s="50"/>
      <c r="D100" s="50"/>
      <c r="E100" s="56"/>
      <c r="F100" s="57"/>
      <c r="G100" s="55"/>
      <c r="H100" s="1465" t="str">
        <f>IF(N106&gt;0,B98,"  ")</f>
        <v>  </v>
      </c>
      <c r="I100" s="1465"/>
      <c r="J100" s="1465"/>
      <c r="K100" s="1465"/>
      <c r="L100" s="39"/>
      <c r="M100" s="163"/>
      <c r="N100" s="245"/>
      <c r="O100" s="243"/>
      <c r="P100" s="272">
        <f>IF('INGRESO DE DATOS'!G62="si",'PLANILLA DE CALCULOS '!K104,0)</f>
        <v>0</v>
      </c>
      <c r="Q100" s="244"/>
      <c r="R100" s="244"/>
      <c r="S100" s="39"/>
      <c r="AD100" s="47">
        <v>57</v>
      </c>
    </row>
    <row r="101" spans="2:30" ht="12.75">
      <c r="B101" s="269"/>
      <c r="C101" s="39"/>
      <c r="D101" s="50"/>
      <c r="E101" s="56"/>
      <c r="F101" s="57"/>
      <c r="G101" s="55"/>
      <c r="H101" s="50"/>
      <c r="I101" s="54"/>
      <c r="J101" s="39"/>
      <c r="K101" s="164"/>
      <c r="L101" s="39"/>
      <c r="M101" s="163"/>
      <c r="N101" s="245"/>
      <c r="O101" s="243"/>
      <c r="P101" s="272">
        <f>IF('INGRESO DE DATOS'!G63="si",'PLANILLA DE CALCULOS '!K104,0)</f>
        <v>0</v>
      </c>
      <c r="Q101" s="164"/>
      <c r="R101" s="164"/>
      <c r="S101" s="39"/>
      <c r="AD101" s="47">
        <v>59</v>
      </c>
    </row>
    <row r="102" spans="2:30" ht="12.75">
      <c r="B102" s="271" t="s">
        <v>66</v>
      </c>
      <c r="C102" s="39"/>
      <c r="D102" s="39"/>
      <c r="E102" s="39"/>
      <c r="F102" s="39"/>
      <c r="G102" s="39"/>
      <c r="H102" s="39"/>
      <c r="I102" s="39"/>
      <c r="J102" s="39"/>
      <c r="K102" s="164"/>
      <c r="L102" s="39"/>
      <c r="M102" s="163"/>
      <c r="N102" s="164"/>
      <c r="O102" s="243"/>
      <c r="P102" s="270"/>
      <c r="Q102" s="164"/>
      <c r="R102" s="164"/>
      <c r="S102" s="39"/>
      <c r="T102" s="1465"/>
      <c r="U102" s="1465"/>
      <c r="V102" s="1465"/>
      <c r="W102" s="1465"/>
      <c r="AD102" s="47">
        <v>60</v>
      </c>
    </row>
    <row r="103" spans="2:30" ht="12.75">
      <c r="B103" s="271" t="s">
        <v>67</v>
      </c>
      <c r="C103" s="50"/>
      <c r="D103" s="50"/>
      <c r="E103" s="42">
        <f>IF(E71=30,30,40)</f>
        <v>40</v>
      </c>
      <c r="F103" s="5" t="s">
        <v>24</v>
      </c>
      <c r="G103" s="9" t="s">
        <v>30</v>
      </c>
      <c r="H103" s="254">
        <f>$K$51</f>
        <v>0</v>
      </c>
      <c r="I103" s="54"/>
      <c r="J103" s="35"/>
      <c r="K103" s="84">
        <f>(E103/100)*H103</f>
        <v>0</v>
      </c>
      <c r="L103" s="39"/>
      <c r="M103" s="163"/>
      <c r="N103" s="245"/>
      <c r="O103" s="243"/>
      <c r="P103" s="272"/>
      <c r="Q103" s="164"/>
      <c r="R103" s="164"/>
      <c r="S103" s="39"/>
      <c r="AD103" s="47">
        <v>61</v>
      </c>
    </row>
    <row r="104" spans="2:30" ht="12.75">
      <c r="B104" s="267"/>
      <c r="C104" s="50"/>
      <c r="D104" s="50"/>
      <c r="E104" s="42">
        <f>$E$72</f>
        <v>200</v>
      </c>
      <c r="F104" s="5" t="s">
        <v>60</v>
      </c>
      <c r="G104" s="5" t="s">
        <v>61</v>
      </c>
      <c r="H104" s="254">
        <f>K103</f>
        <v>0</v>
      </c>
      <c r="I104" s="54"/>
      <c r="J104" s="35"/>
      <c r="K104" s="84">
        <f>K103*E104/100</f>
        <v>0</v>
      </c>
      <c r="L104" s="39"/>
      <c r="M104" s="163"/>
      <c r="N104" s="245"/>
      <c r="O104" s="243"/>
      <c r="P104" s="272"/>
      <c r="Q104" s="244"/>
      <c r="R104" s="244"/>
      <c r="S104" s="39"/>
      <c r="AD104" s="47">
        <v>62</v>
      </c>
    </row>
    <row r="105" spans="2:30" ht="12.75">
      <c r="B105" s="267"/>
      <c r="C105" s="50"/>
      <c r="D105" s="50"/>
      <c r="E105" s="56"/>
      <c r="F105" s="57"/>
      <c r="G105" s="55"/>
      <c r="H105" s="50"/>
      <c r="I105" s="54"/>
      <c r="J105" s="35"/>
      <c r="K105" s="164"/>
      <c r="L105" s="39"/>
      <c r="M105" s="163"/>
      <c r="N105" s="164"/>
      <c r="O105" s="243"/>
      <c r="P105" s="268"/>
      <c r="Q105" s="39"/>
      <c r="R105" s="39"/>
      <c r="S105" s="39"/>
      <c r="AD105" s="47">
        <v>63</v>
      </c>
    </row>
    <row r="106" spans="2:30" ht="13.5" thickBot="1">
      <c r="B106" s="274"/>
      <c r="C106" s="50"/>
      <c r="D106" s="50"/>
      <c r="E106" s="56"/>
      <c r="F106" s="57"/>
      <c r="G106" s="55"/>
      <c r="H106" s="11"/>
      <c r="I106" s="54"/>
      <c r="J106" s="35"/>
      <c r="K106" s="84"/>
      <c r="L106" s="39"/>
      <c r="M106" s="163"/>
      <c r="N106" s="245">
        <f>IF(P106=0,0,P106)</f>
        <v>0</v>
      </c>
      <c r="O106" s="243"/>
      <c r="P106" s="273">
        <f>P103+P101+P100</f>
        <v>0</v>
      </c>
      <c r="Q106" s="3"/>
      <c r="R106" s="3"/>
      <c r="S106" s="39"/>
      <c r="AD106" s="47">
        <v>64</v>
      </c>
    </row>
    <row r="107" spans="3:30" ht="13.5" thickBot="1">
      <c r="C107" s="275"/>
      <c r="D107" s="275"/>
      <c r="E107" s="275"/>
      <c r="F107" s="275"/>
      <c r="G107" s="275"/>
      <c r="H107" s="275"/>
      <c r="I107" s="275"/>
      <c r="J107" s="275"/>
      <c r="K107" s="276"/>
      <c r="L107" s="275"/>
      <c r="M107" s="207"/>
      <c r="N107" s="275"/>
      <c r="O107" s="277"/>
      <c r="P107" s="278"/>
      <c r="Q107" s="3"/>
      <c r="S107" s="39"/>
      <c r="AD107" s="47"/>
    </row>
    <row r="108" spans="2:30" ht="21" thickBot="1">
      <c r="B108" s="821" t="s">
        <v>574</v>
      </c>
      <c r="K108" s="84"/>
      <c r="L108" s="39"/>
      <c r="M108" s="163"/>
      <c r="N108" s="3"/>
      <c r="O108" s="104"/>
      <c r="P108" s="3"/>
      <c r="Q108" s="3"/>
      <c r="R108" s="3"/>
      <c r="S108" s="39"/>
      <c r="AD108" s="47"/>
    </row>
    <row r="109" spans="2:30" ht="12.75">
      <c r="B109" s="269"/>
      <c r="C109" s="263"/>
      <c r="D109" s="263"/>
      <c r="E109" s="263"/>
      <c r="F109" s="263"/>
      <c r="G109" s="263"/>
      <c r="H109" s="263"/>
      <c r="I109" s="263"/>
      <c r="J109" s="263"/>
      <c r="K109" s="333"/>
      <c r="L109" s="263"/>
      <c r="M109" s="264"/>
      <c r="N109" s="263"/>
      <c r="O109" s="518"/>
      <c r="P109" s="329"/>
      <c r="Q109" s="3"/>
      <c r="R109" s="3"/>
      <c r="S109" s="39"/>
      <c r="AD109" s="47"/>
    </row>
    <row r="110" spans="2:30" ht="12.75">
      <c r="B110" s="269"/>
      <c r="C110" s="39"/>
      <c r="D110" s="39"/>
      <c r="E110" s="39"/>
      <c r="F110" s="39"/>
      <c r="G110" s="39"/>
      <c r="H110" s="39"/>
      <c r="I110" s="39"/>
      <c r="J110" s="39"/>
      <c r="K110" s="84"/>
      <c r="L110" s="39"/>
      <c r="M110" s="163"/>
      <c r="N110" s="39"/>
      <c r="O110" s="166"/>
      <c r="P110" s="331"/>
      <c r="Q110" s="3"/>
      <c r="R110" s="3"/>
      <c r="S110" s="39"/>
      <c r="T110" s="1464" t="s">
        <v>338</v>
      </c>
      <c r="U110" s="1464"/>
      <c r="V110" s="251">
        <f>N82</f>
        <v>0</v>
      </c>
      <c r="AD110" s="47"/>
    </row>
    <row r="111" spans="2:30" ht="12.75">
      <c r="B111" s="269"/>
      <c r="C111" s="39"/>
      <c r="D111" s="39"/>
      <c r="E111" s="39"/>
      <c r="F111" s="39"/>
      <c r="G111" s="39"/>
      <c r="H111" s="1465" t="str">
        <f>IF(N114&gt;0,B108,"  ")</f>
        <v>  </v>
      </c>
      <c r="I111" s="1465"/>
      <c r="J111" s="1465"/>
      <c r="K111" s="1465"/>
      <c r="L111" s="39"/>
      <c r="M111" s="163"/>
      <c r="N111" s="39"/>
      <c r="O111" s="166"/>
      <c r="P111" s="331"/>
      <c r="Q111" s="3"/>
      <c r="R111" s="3"/>
      <c r="S111" s="39"/>
      <c r="T111" s="1464" t="s">
        <v>339</v>
      </c>
      <c r="U111" s="1464"/>
      <c r="V111" s="251">
        <f>N89</f>
        <v>0</v>
      </c>
      <c r="AD111" s="47"/>
    </row>
    <row r="112" spans="2:30" ht="12.75">
      <c r="B112" s="271" t="s">
        <v>66</v>
      </c>
      <c r="C112" s="39"/>
      <c r="D112" s="39"/>
      <c r="E112" s="39"/>
      <c r="F112" s="39"/>
      <c r="G112" s="39"/>
      <c r="H112" s="39"/>
      <c r="I112" s="39"/>
      <c r="J112" s="39"/>
      <c r="K112" s="84"/>
      <c r="L112" s="39"/>
      <c r="M112" s="163"/>
      <c r="N112" s="39"/>
      <c r="O112" s="166"/>
      <c r="P112" s="331"/>
      <c r="Q112" s="3"/>
      <c r="R112" s="3"/>
      <c r="S112" s="39"/>
      <c r="T112" s="1464" t="s">
        <v>340</v>
      </c>
      <c r="U112" s="1464"/>
      <c r="V112" s="251">
        <f>N106+N114</f>
        <v>0</v>
      </c>
      <c r="AD112" s="47"/>
    </row>
    <row r="113" spans="2:30" ht="12.75">
      <c r="B113" s="271" t="s">
        <v>67</v>
      </c>
      <c r="C113" s="50"/>
      <c r="D113" s="50"/>
      <c r="E113" s="42">
        <f>IF('INGRESO DE DATOS'!G61="si",40,0)</f>
        <v>0</v>
      </c>
      <c r="F113" s="5" t="s">
        <v>24</v>
      </c>
      <c r="G113" s="9" t="s">
        <v>30</v>
      </c>
      <c r="H113" s="254">
        <f>$K$51</f>
        <v>0</v>
      </c>
      <c r="I113" s="54"/>
      <c r="J113" s="35"/>
      <c r="K113" s="84">
        <f>(E113/100)*H113</f>
        <v>0</v>
      </c>
      <c r="L113" s="39"/>
      <c r="M113" s="163"/>
      <c r="N113" s="268"/>
      <c r="O113" s="243"/>
      <c r="P113" s="268"/>
      <c r="Q113" s="3"/>
      <c r="R113" s="3"/>
      <c r="S113" s="39"/>
      <c r="T113" s="1464" t="s">
        <v>84</v>
      </c>
      <c r="U113" s="1464"/>
      <c r="V113" s="251">
        <f>N57+N66+N73+N79+N82+N89+N106+N125+N134+N159+N147</f>
        <v>0</v>
      </c>
      <c r="AD113" s="47">
        <v>65</v>
      </c>
    </row>
    <row r="114" spans="2:30" ht="12.75">
      <c r="B114" s="269"/>
      <c r="C114" s="39"/>
      <c r="D114" s="39"/>
      <c r="E114" s="42">
        <v>100</v>
      </c>
      <c r="F114" s="5" t="s">
        <v>24</v>
      </c>
      <c r="G114" s="5" t="s">
        <v>61</v>
      </c>
      <c r="H114" s="519">
        <f>H113*E113</f>
        <v>0</v>
      </c>
      <c r="I114" s="39"/>
      <c r="J114" s="39"/>
      <c r="K114" s="84">
        <f>K113</f>
        <v>0</v>
      </c>
      <c r="L114" s="39"/>
      <c r="M114" s="163"/>
      <c r="N114" s="272">
        <f>IF(P114=0,0,P114)</f>
        <v>0</v>
      </c>
      <c r="O114" s="166"/>
      <c r="P114" s="272">
        <f>IF('INGRESO DE DATOS'!G61="si",'PLANILLA DE CALCULOS '!K114,0)</f>
        <v>0</v>
      </c>
      <c r="Q114" s="244"/>
      <c r="R114" s="244"/>
      <c r="S114" s="39"/>
      <c r="AD114" s="47">
        <v>66</v>
      </c>
    </row>
    <row r="115" spans="2:30" ht="13.5" thickBot="1">
      <c r="B115" s="27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163"/>
      <c r="N115" s="39"/>
      <c r="O115" s="166"/>
      <c r="P115" s="331"/>
      <c r="Q115" s="244"/>
      <c r="R115" s="244"/>
      <c r="S115" s="39"/>
      <c r="AD115" s="47">
        <v>67</v>
      </c>
    </row>
    <row r="116" spans="3:30" ht="13.5" thickBot="1"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07"/>
      <c r="N116" s="282"/>
      <c r="O116" s="283"/>
      <c r="P116" s="313"/>
      <c r="Q116" s="244"/>
      <c r="R116" s="244"/>
      <c r="S116" s="39"/>
      <c r="T116" s="517" t="s">
        <v>575</v>
      </c>
      <c r="U116" s="329"/>
      <c r="AD116" s="47">
        <v>68</v>
      </c>
    </row>
    <row r="117" spans="2:30" ht="21" customHeight="1" thickBot="1">
      <c r="B117" s="821" t="s">
        <v>80</v>
      </c>
      <c r="K117" s="3"/>
      <c r="L117" s="39"/>
      <c r="M117" s="163"/>
      <c r="N117" s="164"/>
      <c r="O117" s="243"/>
      <c r="P117" s="244"/>
      <c r="Q117" s="164"/>
      <c r="R117" s="370"/>
      <c r="S117" s="39"/>
      <c r="T117" s="520" t="str">
        <f>IF(N106&gt;0,H100,(IF(N114&gt;0,H111,"  ")))</f>
        <v>  </v>
      </c>
      <c r="U117" s="331"/>
      <c r="AD117" s="47">
        <v>69</v>
      </c>
    </row>
    <row r="118" spans="2:30" ht="12.75" customHeight="1" thickBot="1">
      <c r="B118" s="267"/>
      <c r="C118" s="256"/>
      <c r="D118" s="256"/>
      <c r="E118" s="257"/>
      <c r="F118" s="258"/>
      <c r="G118" s="259"/>
      <c r="H118" s="256"/>
      <c r="I118" s="260"/>
      <c r="J118" s="263"/>
      <c r="K118" s="262"/>
      <c r="L118" s="263"/>
      <c r="M118" s="264"/>
      <c r="N118" s="262"/>
      <c r="O118" s="265"/>
      <c r="P118" s="279"/>
      <c r="Q118" s="244"/>
      <c r="R118" s="244"/>
      <c r="S118" s="39"/>
      <c r="T118" s="274"/>
      <c r="U118" s="278"/>
      <c r="AD118" s="47">
        <v>70</v>
      </c>
    </row>
    <row r="119" spans="2:30" ht="12" customHeight="1">
      <c r="B119" s="280" t="s">
        <v>81</v>
      </c>
      <c r="C119" s="50"/>
      <c r="D119" s="50"/>
      <c r="E119" s="56"/>
      <c r="F119" s="57"/>
      <c r="H119" s="50"/>
      <c r="I119" s="54"/>
      <c r="J119" s="39"/>
      <c r="K119" s="84"/>
      <c r="L119" s="39"/>
      <c r="M119" s="163"/>
      <c r="N119" s="164"/>
      <c r="O119" s="243"/>
      <c r="P119" s="268"/>
      <c r="Q119" s="164"/>
      <c r="R119" s="164"/>
      <c r="S119" s="39"/>
      <c r="AD119" s="47">
        <v>71</v>
      </c>
    </row>
    <row r="120" spans="2:30" ht="12" customHeight="1">
      <c r="B120" s="280" t="s">
        <v>82</v>
      </c>
      <c r="C120" s="50"/>
      <c r="D120" s="51">
        <v>0.5</v>
      </c>
      <c r="E120" s="52" t="s">
        <v>24</v>
      </c>
      <c r="F120" s="58" t="s">
        <v>85</v>
      </c>
      <c r="G120" s="50"/>
      <c r="H120" s="35"/>
      <c r="I120" s="39"/>
      <c r="J120" s="39"/>
      <c r="K120" s="84">
        <f>IF('INGRESO DE DATOS'!G67='INGRESO DE DATOS'!G68,0,IF(G122*0.005&lt;C127,C127,G122*0.005))</f>
        <v>0</v>
      </c>
      <c r="L120" s="39"/>
      <c r="M120" s="163"/>
      <c r="N120" s="164"/>
      <c r="O120" s="243"/>
      <c r="P120" s="270"/>
      <c r="Q120" s="164"/>
      <c r="R120" s="164"/>
      <c r="S120" s="39"/>
      <c r="AD120" s="47">
        <v>72</v>
      </c>
    </row>
    <row r="121" spans="2:30" ht="12" customHeight="1">
      <c r="B121" s="280" t="s">
        <v>88</v>
      </c>
      <c r="C121" s="50"/>
      <c r="D121" s="50"/>
      <c r="E121" s="52"/>
      <c r="F121" s="57"/>
      <c r="G121" s="50"/>
      <c r="H121" s="50"/>
      <c r="I121" s="39"/>
      <c r="J121" s="39"/>
      <c r="K121" s="84">
        <f>IF('INGRESO DE DATOS'!G67='INGRESO DE DATOS'!G68,0,C128)</f>
        <v>0</v>
      </c>
      <c r="L121" s="39"/>
      <c r="M121" s="163"/>
      <c r="N121" s="164"/>
      <c r="O121" s="243"/>
      <c r="P121" s="268"/>
      <c r="Q121" s="164"/>
      <c r="R121" s="164"/>
      <c r="S121" s="39"/>
      <c r="T121" s="1464" t="str">
        <f>'INGRESO DE DATOS'!F140</f>
        <v>minimo cualquier tarea frofesional</v>
      </c>
      <c r="U121" s="1464"/>
      <c r="V121" s="1464"/>
      <c r="W121" s="362" t="str">
        <f>'INGRESO DE DATOS'!H140</f>
        <v>$</v>
      </c>
      <c r="X121" s="3">
        <f>'INGRESO DE DATOS'!$I$140</f>
        <v>5500</v>
      </c>
      <c r="AD121" s="47">
        <v>73</v>
      </c>
    </row>
    <row r="122" spans="2:30" ht="13.5" customHeight="1">
      <c r="B122" s="280" t="s">
        <v>83</v>
      </c>
      <c r="C122" s="50"/>
      <c r="D122" s="50"/>
      <c r="E122" s="52"/>
      <c r="F122" s="57"/>
      <c r="G122" s="371">
        <f>IF('INGRESO DE DATOS'!G67="si",J41,0)</f>
        <v>0</v>
      </c>
      <c r="H122" s="50"/>
      <c r="I122" s="39"/>
      <c r="J122" s="39"/>
      <c r="K122" s="239"/>
      <c r="L122" s="39"/>
      <c r="M122" s="163"/>
      <c r="N122" s="164"/>
      <c r="O122" s="243"/>
      <c r="P122" s="268"/>
      <c r="Q122" s="164"/>
      <c r="R122" s="164"/>
      <c r="S122" s="39"/>
      <c r="T122" s="1464" t="s">
        <v>355</v>
      </c>
      <c r="U122" s="1464"/>
      <c r="V122" s="1464"/>
      <c r="W122" s="362" t="s">
        <v>7</v>
      </c>
      <c r="X122" s="363">
        <f>'INGRESO DE DATOS'!$I$141</f>
        <v>7150</v>
      </c>
      <c r="AD122" s="47">
        <v>74</v>
      </c>
    </row>
    <row r="123" spans="2:30" ht="9.75" customHeight="1">
      <c r="B123" s="280" t="s">
        <v>6</v>
      </c>
      <c r="C123" s="50"/>
      <c r="D123" s="50"/>
      <c r="E123" s="52" t="s">
        <v>24</v>
      </c>
      <c r="F123" s="61">
        <f>IF(AND(G122&gt;0,G122&lt;=T76),2,IF(AND(G122&gt;T76,G122&lt;=T78),2,IF(AND(G122&gt;T78,G122&lt;=U78),1.5,IF(AND(G122&gt;U78,G122&lt;=U79),1,IF(AND(G122&gt;U79),0.8,0)))))</f>
        <v>0</v>
      </c>
      <c r="G123" s="253">
        <f>IF(G122&lt;=0,0,IF(AND(G122&gt;0,G122&lt;=T76),G122,IF(AND(G122&gt;T76,G122&lt;=T78),T76,IF(AND(G122&gt;U77,G122&lt;=U78),T78,IF(AND(G122&gt;U78,G122&lt;=U79),U78,IF(G122&gt;U79,U79))))))</f>
        <v>0</v>
      </c>
      <c r="H123" s="62"/>
      <c r="I123" s="39"/>
      <c r="J123" s="39"/>
      <c r="K123" s="84">
        <f>IF(G122&lt;=0,0,IF(G123&lt;=T76,G122*0.02,IF(G123=T78,V77,IF(G123=U78,V78,IF(G123=U79,V79,0)))))</f>
        <v>0</v>
      </c>
      <c r="L123" s="39"/>
      <c r="M123" s="163"/>
      <c r="N123" s="164"/>
      <c r="O123" s="243"/>
      <c r="P123" s="268"/>
      <c r="Q123" s="244"/>
      <c r="R123" s="244"/>
      <c r="S123" s="39"/>
      <c r="AD123" s="47">
        <v>75</v>
      </c>
    </row>
    <row r="124" spans="2:30" ht="11.25" customHeight="1">
      <c r="B124" s="280" t="s">
        <v>84</v>
      </c>
      <c r="C124" s="50"/>
      <c r="D124" s="50"/>
      <c r="E124" s="52" t="s">
        <v>24</v>
      </c>
      <c r="F124" s="61">
        <f>IF(AND(G122&gt;0,G122&lt;=T76),2,IF(AND(G122&gt;T76,G122&lt;=T78),1.5,IF(AND(G122&gt;T78,G122&lt;=U78),1,IF(AND(G122&gt;U78,G122&lt;=U79),0.8,IF(AND(G122&gt;U79),0.5,0)))))</f>
        <v>0</v>
      </c>
      <c r="G124" s="253">
        <f>IF(G122&lt;T76,0,IF(G122&gt;=6420,G122-G123))</f>
        <v>0</v>
      </c>
      <c r="H124" s="54"/>
      <c r="I124" s="39"/>
      <c r="J124" s="39"/>
      <c r="K124" s="84">
        <f>+(G124*F124)/100</f>
        <v>0</v>
      </c>
      <c r="L124" s="39"/>
      <c r="M124" s="163"/>
      <c r="N124" s="164"/>
      <c r="O124" s="243"/>
      <c r="P124" s="268"/>
      <c r="Q124" s="164"/>
      <c r="R124" s="164"/>
      <c r="S124" s="39"/>
      <c r="AD124" s="47">
        <v>76</v>
      </c>
    </row>
    <row r="125" spans="2:30" ht="15" customHeight="1">
      <c r="B125" s="269"/>
      <c r="C125" s="50"/>
      <c r="D125" s="50"/>
      <c r="E125" s="50"/>
      <c r="F125" s="50"/>
      <c r="G125" s="50"/>
      <c r="H125" s="50"/>
      <c r="I125" s="39"/>
      <c r="J125" s="39"/>
      <c r="K125" s="84">
        <f>SUM(K120:K124)</f>
        <v>0</v>
      </c>
      <c r="L125" s="39"/>
      <c r="M125" s="163" t="s">
        <v>335</v>
      </c>
      <c r="N125" s="245">
        <f>+P125</f>
        <v>0</v>
      </c>
      <c r="O125" s="246"/>
      <c r="P125" s="281">
        <f>IF('INGRESO DE DATOS'!G67='INGRESO DE DATOS'!G68,0,'PLANILLA DE CALCULOS '!K125)</f>
        <v>0</v>
      </c>
      <c r="Q125" s="164"/>
      <c r="R125" s="84"/>
      <c r="S125" s="39"/>
      <c r="AD125" s="47">
        <v>77</v>
      </c>
    </row>
    <row r="126" spans="2:30" ht="9.75" customHeight="1">
      <c r="B126" s="269" t="str">
        <f>'INGRESO DE DATOS'!B132</f>
        <v>Min. Inc. A</v>
      </c>
      <c r="C126" s="39"/>
      <c r="D126" s="39"/>
      <c r="E126" s="39"/>
      <c r="F126" s="39"/>
      <c r="G126" s="39"/>
      <c r="H126" s="39"/>
      <c r="I126" s="39"/>
      <c r="J126" s="39"/>
      <c r="K126" s="164"/>
      <c r="L126" s="39"/>
      <c r="M126" s="163"/>
      <c r="N126" s="164"/>
      <c r="O126" s="243"/>
      <c r="P126" s="268"/>
      <c r="Q126" s="164"/>
      <c r="R126" s="84"/>
      <c r="S126" s="39"/>
      <c r="AD126" s="47">
        <v>78</v>
      </c>
    </row>
    <row r="127" spans="2:30" ht="9.75" customHeight="1" thickBot="1">
      <c r="B127" s="274" t="str">
        <f>'INGRESO DE DATOS'!B133</f>
        <v>Insiso B </v>
      </c>
      <c r="C127" s="39">
        <f>'INGRESO DE DATOS'!C132</f>
        <v>1100</v>
      </c>
      <c r="D127" s="39"/>
      <c r="E127" s="39"/>
      <c r="F127" s="39"/>
      <c r="G127" s="39"/>
      <c r="H127" s="39"/>
      <c r="I127" s="39"/>
      <c r="J127" s="39"/>
      <c r="K127" s="164"/>
      <c r="L127" s="39"/>
      <c r="M127" s="163"/>
      <c r="N127" s="164"/>
      <c r="O127" s="243"/>
      <c r="P127" s="268"/>
      <c r="S127" s="39"/>
      <c r="X127" s="39"/>
      <c r="Y127" s="39"/>
      <c r="Z127" s="39"/>
      <c r="AA127" s="39"/>
      <c r="AB127" s="39"/>
      <c r="AC127" s="39"/>
      <c r="AD127" s="47">
        <v>79</v>
      </c>
    </row>
    <row r="128" spans="3:30" ht="13.5" customHeight="1" thickBot="1">
      <c r="C128" s="275">
        <f>'INGRESO DE DATOS'!C133</f>
        <v>6050</v>
      </c>
      <c r="D128" s="275"/>
      <c r="E128" s="275"/>
      <c r="F128" s="275"/>
      <c r="G128" s="275"/>
      <c r="H128" s="275"/>
      <c r="I128" s="275"/>
      <c r="J128" s="275"/>
      <c r="K128" s="282"/>
      <c r="L128" s="275"/>
      <c r="M128" s="207"/>
      <c r="N128" s="282"/>
      <c r="O128" s="283"/>
      <c r="P128" s="284"/>
      <c r="S128" s="39"/>
      <c r="X128" s="39"/>
      <c r="Y128" s="39"/>
      <c r="Z128" s="39"/>
      <c r="AA128" s="39"/>
      <c r="AB128" s="39"/>
      <c r="AC128" s="39"/>
      <c r="AD128" s="47">
        <v>80</v>
      </c>
    </row>
    <row r="129" spans="17:30" ht="11.25" customHeight="1" thickBot="1">
      <c r="Q129" s="164"/>
      <c r="R129" s="164"/>
      <c r="S129" s="39"/>
      <c r="X129" s="39"/>
      <c r="Y129" s="39"/>
      <c r="Z129" s="39"/>
      <c r="AA129" s="39"/>
      <c r="AB129" s="39"/>
      <c r="AC129" s="39"/>
      <c r="AD129" s="47">
        <v>81</v>
      </c>
    </row>
    <row r="130" spans="2:30" ht="15.75" customHeight="1" thickBot="1">
      <c r="B130" s="845" t="s">
        <v>301</v>
      </c>
      <c r="Q130" s="164"/>
      <c r="R130" s="84"/>
      <c r="S130" s="39"/>
      <c r="X130" s="39"/>
      <c r="Y130" s="39"/>
      <c r="Z130" s="39"/>
      <c r="AA130" s="39"/>
      <c r="AB130" s="39"/>
      <c r="AC130" s="39"/>
      <c r="AD130" s="47">
        <v>82</v>
      </c>
    </row>
    <row r="131" spans="2:30" ht="14.25" customHeight="1">
      <c r="B131" s="271" t="s">
        <v>21</v>
      </c>
      <c r="C131" s="263"/>
      <c r="D131" s="263"/>
      <c r="E131" s="320" t="s">
        <v>302</v>
      </c>
      <c r="F131" s="263"/>
      <c r="G131" s="263"/>
      <c r="H131" s="263"/>
      <c r="I131" s="263"/>
      <c r="J131" s="263"/>
      <c r="K131" s="262"/>
      <c r="L131" s="263"/>
      <c r="M131" s="264"/>
      <c r="N131" s="262"/>
      <c r="O131" s="265"/>
      <c r="P131" s="266"/>
      <c r="Q131" s="164"/>
      <c r="R131" s="164"/>
      <c r="S131" s="39"/>
      <c r="X131" s="39"/>
      <c r="Y131" s="39"/>
      <c r="Z131" s="39"/>
      <c r="AA131" s="39"/>
      <c r="AB131" s="39"/>
      <c r="AC131" s="39"/>
      <c r="AD131" s="47">
        <v>83</v>
      </c>
    </row>
    <row r="132" spans="2:30" ht="9.75" customHeight="1">
      <c r="B132" s="269"/>
      <c r="C132" s="39"/>
      <c r="D132" s="39"/>
      <c r="E132" s="39"/>
      <c r="F132" s="39"/>
      <c r="G132" s="39"/>
      <c r="H132" s="39"/>
      <c r="I132" s="39"/>
      <c r="J132" s="39"/>
      <c r="K132" s="164"/>
      <c r="L132" s="39"/>
      <c r="M132" s="163"/>
      <c r="N132" s="164"/>
      <c r="O132" s="243"/>
      <c r="P132" s="268"/>
      <c r="Q132" s="244"/>
      <c r="R132" s="244"/>
      <c r="S132" s="39"/>
      <c r="X132" s="39"/>
      <c r="Y132" s="39"/>
      <c r="Z132" s="39"/>
      <c r="AA132" s="39"/>
      <c r="AB132" s="39"/>
      <c r="AC132" s="39"/>
      <c r="AD132" s="47">
        <v>84</v>
      </c>
    </row>
    <row r="133" spans="2:30" ht="9.75" customHeight="1">
      <c r="B133" s="269"/>
      <c r="C133" s="39"/>
      <c r="D133" s="39"/>
      <c r="E133" s="1466" t="s">
        <v>303</v>
      </c>
      <c r="F133" s="1466"/>
      <c r="G133" s="220">
        <f>$K$71</f>
        <v>0</v>
      </c>
      <c r="H133" s="39"/>
      <c r="I133" s="39"/>
      <c r="J133" s="39"/>
      <c r="K133" s="164"/>
      <c r="L133" s="39"/>
      <c r="M133" s="163"/>
      <c r="N133" s="164"/>
      <c r="O133" s="243"/>
      <c r="P133" s="268"/>
      <c r="Q133" s="164"/>
      <c r="R133" s="164"/>
      <c r="S133" s="39"/>
      <c r="X133" s="39"/>
      <c r="Y133" s="39"/>
      <c r="Z133" s="39"/>
      <c r="AA133" s="39"/>
      <c r="AB133" s="39"/>
      <c r="AC133" s="39"/>
      <c r="AD133" s="47">
        <v>85</v>
      </c>
    </row>
    <row r="134" spans="2:30" ht="9.75" customHeight="1">
      <c r="B134" s="269"/>
      <c r="C134" s="39"/>
      <c r="D134" s="39"/>
      <c r="E134" s="39"/>
      <c r="F134" s="39" t="s">
        <v>84</v>
      </c>
      <c r="G134" s="39"/>
      <c r="H134" s="220">
        <f>G133/2</f>
        <v>0</v>
      </c>
      <c r="I134" s="39"/>
      <c r="J134" s="39"/>
      <c r="K134" s="164"/>
      <c r="L134" s="39"/>
      <c r="M134" s="163" t="s">
        <v>336</v>
      </c>
      <c r="N134" s="245">
        <f>+P134</f>
        <v>0</v>
      </c>
      <c r="O134" s="243"/>
      <c r="P134" s="321">
        <f>IF('INGRESO DE DATOS'!G66="si",('PLANILLA DE CALCULOS '!K71)/2,0)</f>
        <v>0</v>
      </c>
      <c r="Q134" s="164"/>
      <c r="R134" s="164"/>
      <c r="S134" s="39"/>
      <c r="X134" s="39"/>
      <c r="Y134" s="39"/>
      <c r="Z134" s="39"/>
      <c r="AA134" s="39"/>
      <c r="AB134" s="39"/>
      <c r="AC134" s="39"/>
      <c r="AD134" s="47">
        <v>86</v>
      </c>
    </row>
    <row r="135" spans="2:30" ht="12" customHeight="1" thickBot="1">
      <c r="B135" s="274"/>
      <c r="C135" s="39"/>
      <c r="D135" s="39"/>
      <c r="E135" s="39"/>
      <c r="F135" s="39"/>
      <c r="G135" s="39"/>
      <c r="H135" s="39"/>
      <c r="I135" s="39"/>
      <c r="J135" s="39"/>
      <c r="K135" s="164"/>
      <c r="L135" s="39"/>
      <c r="M135" s="163"/>
      <c r="N135" s="164"/>
      <c r="O135" s="243"/>
      <c r="P135" s="268"/>
      <c r="S135" s="39"/>
      <c r="X135" s="39"/>
      <c r="Y135" s="39"/>
      <c r="Z135" s="39"/>
      <c r="AA135" s="39"/>
      <c r="AB135" s="39"/>
      <c r="AC135" s="39"/>
      <c r="AD135" s="47">
        <v>87</v>
      </c>
    </row>
    <row r="136" spans="2:30" ht="20.25" customHeight="1" thickBot="1">
      <c r="B136" s="39"/>
      <c r="C136" s="275"/>
      <c r="D136" s="275"/>
      <c r="E136" s="275"/>
      <c r="F136" s="275"/>
      <c r="G136" s="275"/>
      <c r="H136" s="275"/>
      <c r="I136" s="275"/>
      <c r="J136" s="275"/>
      <c r="K136" s="282"/>
      <c r="L136" s="275"/>
      <c r="M136" s="207"/>
      <c r="N136" s="282"/>
      <c r="O136" s="283"/>
      <c r="P136" s="284"/>
      <c r="S136" s="39"/>
      <c r="T136" s="24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2:22" ht="12" customHeight="1" thickBot="1">
      <c r="B137" s="319" t="s">
        <v>515</v>
      </c>
      <c r="C137" s="39"/>
      <c r="D137" s="39"/>
      <c r="E137" s="39"/>
      <c r="F137" s="39"/>
      <c r="G137" s="39"/>
      <c r="H137" s="39"/>
      <c r="I137" s="39"/>
      <c r="J137" s="39"/>
      <c r="K137" s="164"/>
      <c r="L137" s="39"/>
      <c r="M137" s="3"/>
      <c r="S137" s="39"/>
      <c r="T137" s="39"/>
      <c r="U137" s="39"/>
      <c r="V137" s="39"/>
    </row>
    <row r="138" spans="2:22" ht="12" customHeight="1">
      <c r="B138" s="271"/>
      <c r="C138" s="263"/>
      <c r="D138" s="320"/>
      <c r="E138" s="263"/>
      <c r="F138" s="263"/>
      <c r="G138" s="263"/>
      <c r="H138" s="263"/>
      <c r="I138" s="263"/>
      <c r="J138" s="263"/>
      <c r="K138" s="262"/>
      <c r="L138" s="263"/>
      <c r="M138" s="264"/>
      <c r="N138" s="262"/>
      <c r="O138" s="265"/>
      <c r="P138" s="266"/>
      <c r="S138" s="39"/>
      <c r="T138" s="244"/>
      <c r="U138" s="39"/>
      <c r="V138" s="39"/>
    </row>
    <row r="139" spans="2:22" ht="12" customHeight="1">
      <c r="B139" s="271"/>
      <c r="C139" s="5"/>
      <c r="D139" s="5"/>
      <c r="E139" s="5"/>
      <c r="F139" s="5"/>
      <c r="G139" s="5"/>
      <c r="H139" s="5"/>
      <c r="I139" s="5"/>
      <c r="J139" s="5"/>
      <c r="K139" s="84"/>
      <c r="L139" s="39"/>
      <c r="M139" s="163"/>
      <c r="N139" s="164"/>
      <c r="O139" s="243"/>
      <c r="P139" s="268"/>
      <c r="S139" s="39"/>
      <c r="T139" s="39"/>
      <c r="U139" s="39"/>
      <c r="V139" s="39"/>
    </row>
    <row r="140" spans="2:22" ht="12" customHeight="1">
      <c r="B140" s="271"/>
      <c r="C140" s="5"/>
      <c r="D140" s="5"/>
      <c r="E140" s="39"/>
      <c r="F140" s="39"/>
      <c r="G140" s="5"/>
      <c r="H140" s="35"/>
      <c r="I140" s="84"/>
      <c r="J140" s="35"/>
      <c r="K140" s="84"/>
      <c r="L140" s="39"/>
      <c r="M140" s="163"/>
      <c r="N140" s="366"/>
      <c r="O140" s="243"/>
      <c r="P140" s="321"/>
      <c r="S140" s="39"/>
      <c r="T140" s="244"/>
      <c r="U140" s="39"/>
      <c r="V140" s="39"/>
    </row>
    <row r="141" spans="2:22" ht="12" customHeight="1">
      <c r="B141" s="271"/>
      <c r="C141" s="5"/>
      <c r="D141" s="5"/>
      <c r="E141" s="374"/>
      <c r="F141" s="5"/>
      <c r="G141" s="5"/>
      <c r="H141" s="9"/>
      <c r="J141" s="35"/>
      <c r="K141" s="84"/>
      <c r="L141" s="39"/>
      <c r="M141" s="163"/>
      <c r="N141" s="366"/>
      <c r="O141" s="243"/>
      <c r="P141" s="321"/>
      <c r="S141" s="39"/>
      <c r="T141" s="39"/>
      <c r="V141" s="39"/>
    </row>
    <row r="142" spans="2:22" ht="12" customHeight="1">
      <c r="B142" s="271"/>
      <c r="C142" s="5"/>
      <c r="D142" s="39"/>
      <c r="E142" s="374"/>
      <c r="F142" s="5"/>
      <c r="G142" s="5"/>
      <c r="H142" s="9"/>
      <c r="I142" s="53"/>
      <c r="J142" s="35"/>
      <c r="K142" s="84"/>
      <c r="L142" s="39"/>
      <c r="M142" s="163"/>
      <c r="N142" s="366"/>
      <c r="O142" s="243"/>
      <c r="P142" s="321"/>
      <c r="S142" s="39"/>
      <c r="T142" s="244"/>
      <c r="U142" s="60"/>
      <c r="V142" s="361"/>
    </row>
    <row r="143" spans="2:22" ht="12" customHeight="1">
      <c r="B143" s="271"/>
      <c r="C143" s="5"/>
      <c r="D143" s="375"/>
      <c r="E143" s="376"/>
      <c r="F143" s="65"/>
      <c r="G143" s="60"/>
      <c r="H143" s="167"/>
      <c r="I143" s="377"/>
      <c r="J143" s="35"/>
      <c r="K143" s="84"/>
      <c r="L143" s="39"/>
      <c r="M143" s="163"/>
      <c r="N143" s="366"/>
      <c r="O143" s="243"/>
      <c r="P143" s="321"/>
      <c r="S143" s="476" t="s">
        <v>632</v>
      </c>
      <c r="T143" s="39"/>
      <c r="U143" s="60"/>
      <c r="V143" s="60"/>
    </row>
    <row r="144" spans="2:22" ht="15" customHeight="1">
      <c r="B144" s="271"/>
      <c r="C144" s="5"/>
      <c r="D144" s="375"/>
      <c r="E144" s="376"/>
      <c r="F144" s="65"/>
      <c r="G144" s="60"/>
      <c r="H144" s="167"/>
      <c r="I144" s="377"/>
      <c r="J144" s="35"/>
      <c r="K144" s="84"/>
      <c r="L144" s="39"/>
      <c r="M144" s="163"/>
      <c r="N144" s="366"/>
      <c r="O144" s="243"/>
      <c r="P144" s="321"/>
      <c r="S144" s="547">
        <f>'INGRESO DE DATOS'!$I$140</f>
        <v>5500</v>
      </c>
      <c r="T144" s="39"/>
      <c r="U144" s="60"/>
      <c r="V144" s="60"/>
    </row>
    <row r="145" spans="2:22" ht="12" customHeight="1">
      <c r="B145" s="271" t="s">
        <v>633</v>
      </c>
      <c r="C145" s="5"/>
      <c r="D145" s="5"/>
      <c r="E145" s="376"/>
      <c r="F145" s="65"/>
      <c r="G145" s="60"/>
      <c r="H145" s="167"/>
      <c r="I145" s="377"/>
      <c r="J145" s="35"/>
      <c r="K145" s="84"/>
      <c r="L145" s="39"/>
      <c r="M145" s="163"/>
      <c r="N145" s="366"/>
      <c r="O145" s="243"/>
      <c r="P145" s="321"/>
      <c r="S145" s="39"/>
      <c r="T145" s="39"/>
      <c r="U145" s="60"/>
      <c r="V145" s="60"/>
    </row>
    <row r="146" spans="2:22" ht="12" customHeight="1" thickBot="1">
      <c r="B146" s="290"/>
      <c r="C146" s="5"/>
      <c r="D146" s="5"/>
      <c r="E146" s="376"/>
      <c r="F146" s="65"/>
      <c r="G146" s="60"/>
      <c r="H146" s="167"/>
      <c r="I146" s="377"/>
      <c r="J146" s="35"/>
      <c r="K146" s="84"/>
      <c r="L146" s="39"/>
      <c r="M146" s="163"/>
      <c r="N146" s="366">
        <f>+P146</f>
        <v>0</v>
      </c>
      <c r="O146" s="243"/>
      <c r="P146" s="546">
        <f>IF('INGRESO DE DATOS'!G70="si",S144,0)</f>
        <v>0</v>
      </c>
      <c r="S146" s="39"/>
      <c r="T146" s="39"/>
      <c r="U146" s="60"/>
      <c r="V146" s="60"/>
    </row>
    <row r="147" spans="3:22" ht="12" customHeight="1" thickBot="1">
      <c r="C147" s="291"/>
      <c r="D147" s="291"/>
      <c r="E147" s="378"/>
      <c r="F147" s="379"/>
      <c r="G147" s="380"/>
      <c r="H147" s="381"/>
      <c r="I147" s="382"/>
      <c r="J147" s="293"/>
      <c r="K147" s="326"/>
      <c r="L147" s="275"/>
      <c r="M147" s="207"/>
      <c r="N147" s="383"/>
      <c r="O147" s="283"/>
      <c r="P147" s="313"/>
      <c r="R147" s="3"/>
      <c r="S147" s="39"/>
      <c r="T147" s="39"/>
      <c r="U147" s="60"/>
      <c r="V147" s="60"/>
    </row>
    <row r="148" spans="2:22" ht="12" customHeight="1">
      <c r="B148" s="5"/>
      <c r="J148" s="84"/>
      <c r="S148" s="39"/>
      <c r="T148" s="39"/>
      <c r="U148" s="60"/>
      <c r="V148" s="60"/>
    </row>
    <row r="149" spans="2:30" ht="12" customHeight="1" thickBot="1">
      <c r="B149" s="5"/>
      <c r="C149" s="5"/>
      <c r="D149" s="5"/>
      <c r="E149" s="5"/>
      <c r="F149" s="5"/>
      <c r="G149" s="5"/>
      <c r="H149" s="9"/>
      <c r="I149" s="53"/>
      <c r="J149" s="35"/>
      <c r="K149" s="12"/>
      <c r="L149" s="39"/>
      <c r="S149" s="39"/>
      <c r="T149" s="39"/>
      <c r="U149" s="60"/>
      <c r="V149" s="60"/>
      <c r="W149" s="60"/>
      <c r="X149" s="39"/>
      <c r="Y149" s="39"/>
      <c r="Z149" s="39"/>
      <c r="AA149" s="39"/>
      <c r="AB149" s="39"/>
      <c r="AC149" s="39"/>
      <c r="AD149" s="39"/>
    </row>
    <row r="150" spans="2:30" ht="12" customHeight="1" thickBot="1">
      <c r="B150" s="322" t="s">
        <v>514</v>
      </c>
      <c r="C150" s="5"/>
      <c r="D150" s="5"/>
      <c r="E150" s="5"/>
      <c r="F150" s="5"/>
      <c r="G150" s="5"/>
      <c r="H150" s="9"/>
      <c r="I150" s="53"/>
      <c r="J150" s="35"/>
      <c r="K150" s="12"/>
      <c r="L150" s="39"/>
      <c r="S150" s="39"/>
      <c r="T150" s="39"/>
      <c r="U150" s="60"/>
      <c r="V150" s="60"/>
      <c r="W150" s="60"/>
      <c r="X150" s="39"/>
      <c r="Y150" s="39"/>
      <c r="Z150" s="39"/>
      <c r="AA150" s="39"/>
      <c r="AB150" s="39"/>
      <c r="AC150" s="39"/>
      <c r="AD150" s="39"/>
    </row>
    <row r="151" spans="2:30" ht="12" customHeight="1">
      <c r="B151" s="271" t="s">
        <v>21</v>
      </c>
      <c r="C151" s="286"/>
      <c r="D151" s="286"/>
      <c r="E151" s="287"/>
      <c r="F151" s="287"/>
      <c r="G151" s="287"/>
      <c r="H151" s="287"/>
      <c r="I151" s="287"/>
      <c r="J151" s="287"/>
      <c r="K151" s="288"/>
      <c r="L151" s="263"/>
      <c r="M151" s="264"/>
      <c r="N151" s="262"/>
      <c r="O151" s="265"/>
      <c r="P151" s="266"/>
      <c r="Q151" s="164"/>
      <c r="R151" s="164"/>
      <c r="S151" s="39"/>
      <c r="T151" s="39"/>
      <c r="U151" s="60"/>
      <c r="V151" s="60"/>
      <c r="W151" s="60"/>
      <c r="X151" s="39"/>
      <c r="Y151" s="39"/>
      <c r="Z151" s="39"/>
      <c r="AA151" s="39"/>
      <c r="AB151" s="39"/>
      <c r="AC151" s="39"/>
      <c r="AD151" s="39"/>
    </row>
    <row r="152" spans="2:59" s="360" customFormat="1" ht="20.25" customHeight="1">
      <c r="B152" s="349" t="s">
        <v>22</v>
      </c>
      <c r="C152" s="5"/>
      <c r="D152" s="5"/>
      <c r="E152" s="5"/>
      <c r="F152" s="5"/>
      <c r="G152" s="5"/>
      <c r="H152" s="5"/>
      <c r="I152" s="5"/>
      <c r="J152" s="5"/>
      <c r="K152" s="9"/>
      <c r="L152" s="39"/>
      <c r="M152" s="163"/>
      <c r="N152" s="164"/>
      <c r="O152" s="243"/>
      <c r="P152" s="268"/>
      <c r="Q152" s="164"/>
      <c r="R152" s="164"/>
      <c r="S152" s="39"/>
      <c r="T152" s="39"/>
      <c r="U152" s="60"/>
      <c r="V152" s="60"/>
      <c r="W152" s="60"/>
      <c r="X152" s="39"/>
      <c r="Y152" s="39"/>
      <c r="Z152" s="39"/>
      <c r="AA152" s="39"/>
      <c r="AB152" s="39"/>
      <c r="AC152" s="39"/>
      <c r="AD152" s="39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2:59" ht="12" customHeight="1">
      <c r="B153" s="271" t="s">
        <v>5</v>
      </c>
      <c r="C153" s="350"/>
      <c r="D153" s="350"/>
      <c r="E153" s="360"/>
      <c r="F153" s="350"/>
      <c r="G153" s="350"/>
      <c r="H153" s="351"/>
      <c r="I153" s="352">
        <f>IF('INGRESO DE DATOS'!G69="si",('INGRESO DE DATOS'!$F$118+J27),0)</f>
        <v>0</v>
      </c>
      <c r="J153" s="351"/>
      <c r="K153" s="353"/>
      <c r="L153" s="354"/>
      <c r="M153" s="355"/>
      <c r="N153" s="356"/>
      <c r="O153" s="357"/>
      <c r="P153" s="358"/>
      <c r="Q153" s="356"/>
      <c r="R153" s="356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</row>
    <row r="154" spans="2:30" ht="12" customHeight="1">
      <c r="B154" s="271" t="s">
        <v>23</v>
      </c>
      <c r="C154" s="5"/>
      <c r="D154" s="5"/>
      <c r="E154" s="347">
        <f>IF(AND(I153&gt;0,I153&lt;=U87),5,IF(AND(I153&gt;U87,I153&lt;=U89),5,IF(AND(I153&gt;U89,I153&lt;=U90),4,IF(AND(I153&gt;U90,I153&lt;=U91),3,IF(AND(I153&gt;U91,I153&lt;=U92),2.5,IF(AND(I153&gt;U92,I153&lt;=U93),2,IF(AND(I153&gt;U93),1,0)))))))</f>
        <v>0</v>
      </c>
      <c r="F154" s="5" t="s">
        <v>24</v>
      </c>
      <c r="G154" s="5" t="s">
        <v>289</v>
      </c>
      <c r="H154" s="35"/>
      <c r="I154" s="84">
        <f>IF(I153&lt;=0,0,IF(AND(I153&gt;0,I153&lt;=U87),I153,IF(AND(I153&gt;U87,I153&lt;=U89),U87,IF(AND(I153&gt;U89,I153&lt;=V89),U89,IF(AND(I153&gt;V89,I153&lt;=V90),V89,IF(AND(I153&gt;V90,I153&lt;=V91),V90,IF(AND(I153&gt;U91,V89&lt;=V91),V91)))))))</f>
        <v>0</v>
      </c>
      <c r="J154" s="35"/>
      <c r="K154" s="84">
        <f>IF(AND(I153&gt;0,I153&lt;=V87),I153*0.05,IF(AND(I153&gt;V87,I153&lt;=V88),W87,IF(AND(I153&gt;V88,I153&lt;=V89),W88,IF(AND(I153&gt;V89,I153&lt;=V90),W89,IF(AND(I153&gt;V90,I153&lt;=V91),W90,IF(AND(I153&gt;V91),W91,0))))))</f>
        <v>0</v>
      </c>
      <c r="L154" s="50"/>
      <c r="M154" s="163"/>
      <c r="N154" s="60"/>
      <c r="O154" s="249"/>
      <c r="P154" s="323"/>
      <c r="Q154" s="60"/>
      <c r="R154" s="60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2:30" ht="12" customHeight="1">
      <c r="B155" s="271"/>
      <c r="C155" s="5"/>
      <c r="D155" s="5"/>
      <c r="E155" s="347">
        <f>IF(AND(I153&gt;0,I153&lt;=U87),5,IF(AND(I153&gt;U87,I153&lt;=U89),4,IF(AND(I153&gt;U89,I153&lt;=U90),3,IF(AND(I153&gt;U90,I153&lt;=U91),2.5,IF(AND(I153&gt;U91,I153&lt;=U92),2,IF(AND(I153&gt;U92,I153&lt;=U93),1.5,IF(AND(I153&gt;U93),1.5,0)))))))</f>
        <v>0</v>
      </c>
      <c r="F155" s="5" t="s">
        <v>24</v>
      </c>
      <c r="G155" s="5" t="s">
        <v>6</v>
      </c>
      <c r="H155" s="35"/>
      <c r="I155" s="84">
        <f>IF(I153&lt;=U93,(I153-I154),IF(AND(I153&gt;V92,I153&lt;=V93),U92,V91))</f>
        <v>0</v>
      </c>
      <c r="J155" s="35"/>
      <c r="K155" s="84">
        <f>+(E155/100)*I155</f>
        <v>0</v>
      </c>
      <c r="L155" s="39"/>
      <c r="M155" s="163"/>
      <c r="N155" s="164"/>
      <c r="O155" s="243"/>
      <c r="P155" s="268"/>
      <c r="Q155" s="164"/>
      <c r="R155" s="164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2:30" ht="12" customHeight="1">
      <c r="B156" s="271"/>
      <c r="C156" s="5"/>
      <c r="D156" s="5"/>
      <c r="E156" s="348">
        <f>IF(AND(I153&gt;0,I153&lt;=U146),5,IF(AND(I153&gt;U146,I153&lt;=U148),5,IF(AND(I153&gt;U148,I153&lt;=U149),4,IF(AND(I153&gt;U149,I153&lt;=U150),3,IF(AND(I153&gt;U150,I153&lt;=U151),2.5,IF(AND(I153&gt;U151,I153&lt;=U152),2,IF(AND(I153&gt;U152),1,0)))))))</f>
        <v>0</v>
      </c>
      <c r="F156" s="5" t="s">
        <v>24</v>
      </c>
      <c r="G156" s="5" t="s">
        <v>6</v>
      </c>
      <c r="H156" s="9"/>
      <c r="I156" s="84">
        <f>IF(I153&gt;V93,V92,(I153-I154-I155))</f>
        <v>0</v>
      </c>
      <c r="J156" s="39"/>
      <c r="K156" s="84">
        <f>+(E156/100)*I156</f>
        <v>0</v>
      </c>
      <c r="L156" s="39"/>
      <c r="M156" s="163"/>
      <c r="N156" s="164"/>
      <c r="O156" s="243"/>
      <c r="P156" s="268"/>
      <c r="Q156" s="164"/>
      <c r="R156" s="164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2:30" ht="12" customHeight="1">
      <c r="B157" s="271"/>
      <c r="C157" s="5"/>
      <c r="D157" s="5"/>
      <c r="E157" s="5">
        <f>IF(I153&gt;V93,0.5,0)</f>
        <v>0</v>
      </c>
      <c r="F157" s="5" t="s">
        <v>24</v>
      </c>
      <c r="G157" s="5" t="s">
        <v>288</v>
      </c>
      <c r="H157" s="9"/>
      <c r="I157" s="84">
        <f>IF(I153&gt;V93,(I153-V93),0)</f>
        <v>0</v>
      </c>
      <c r="J157" s="35"/>
      <c r="K157" s="84">
        <f>+(E157/100)*I157</f>
        <v>0</v>
      </c>
      <c r="L157" s="39"/>
      <c r="M157" s="163"/>
      <c r="N157" s="164"/>
      <c r="O157" s="243"/>
      <c r="P157" s="268"/>
      <c r="Q157" s="164"/>
      <c r="R157" s="164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2:30" ht="12" customHeight="1">
      <c r="B158" s="271"/>
      <c r="C158" s="5"/>
      <c r="D158" s="5"/>
      <c r="E158" s="5"/>
      <c r="F158" s="5"/>
      <c r="G158" s="5"/>
      <c r="H158" s="9"/>
      <c r="I158" s="11"/>
      <c r="J158" s="35"/>
      <c r="K158" s="84"/>
      <c r="L158" s="39"/>
      <c r="M158" s="163"/>
      <c r="N158" s="164"/>
      <c r="O158" s="243"/>
      <c r="P158" s="268"/>
      <c r="Q158" s="164"/>
      <c r="R158" s="164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2:30" ht="12" customHeight="1" thickBot="1">
      <c r="B159" s="324"/>
      <c r="C159" s="5"/>
      <c r="D159" s="5"/>
      <c r="E159" s="5"/>
      <c r="F159" s="5"/>
      <c r="G159" s="5"/>
      <c r="H159" s="9"/>
      <c r="I159" s="11" t="s">
        <v>481</v>
      </c>
      <c r="J159" s="35"/>
      <c r="K159" s="84">
        <f>+K154+K155+K156+K157</f>
        <v>0</v>
      </c>
      <c r="L159" s="39"/>
      <c r="M159" s="163" t="s">
        <v>334</v>
      </c>
      <c r="N159" s="245">
        <f>+P159</f>
        <v>0</v>
      </c>
      <c r="O159" s="243"/>
      <c r="P159" s="546">
        <f>IF('INGRESO DE DATOS'!G69="si",'PLANILLA DE CALCULOS '!K159,0)</f>
        <v>0</v>
      </c>
      <c r="Q159" s="164"/>
      <c r="R159" s="164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2:30" ht="13.5" thickBot="1">
      <c r="B160" s="50"/>
      <c r="C160" s="325"/>
      <c r="D160" s="325"/>
      <c r="E160" s="291"/>
      <c r="F160" s="291"/>
      <c r="G160" s="291"/>
      <c r="H160" s="297"/>
      <c r="I160" s="291"/>
      <c r="J160" s="293"/>
      <c r="K160" s="326"/>
      <c r="L160" s="275"/>
      <c r="M160" s="207"/>
      <c r="N160" s="282"/>
      <c r="O160" s="283"/>
      <c r="P160" s="284"/>
      <c r="Q160" s="164"/>
      <c r="R160" s="164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2:15" ht="13.5" thickBot="1">
      <c r="B161" s="327" t="s">
        <v>31</v>
      </c>
      <c r="C161" s="50"/>
      <c r="D161" s="50"/>
      <c r="E161" s="64"/>
      <c r="F161" s="64"/>
      <c r="G161" s="64"/>
      <c r="H161" s="64"/>
      <c r="I161" s="64"/>
      <c r="J161" s="64"/>
      <c r="K161" s="64"/>
      <c r="L161" s="64"/>
      <c r="M161" s="3"/>
      <c r="N161" s="48"/>
      <c r="O161" s="105"/>
    </row>
    <row r="162" spans="2:13" ht="12.75">
      <c r="B162" s="330" t="s">
        <v>32</v>
      </c>
      <c r="C162" s="328"/>
      <c r="D162" s="328"/>
      <c r="E162" s="328"/>
      <c r="F162" s="328"/>
      <c r="G162" s="287"/>
      <c r="H162" s="287"/>
      <c r="I162" s="287"/>
      <c r="J162" s="261"/>
      <c r="K162" s="288"/>
      <c r="L162" s="329"/>
      <c r="M162" s="3"/>
    </row>
    <row r="163" spans="2:22" ht="12.75">
      <c r="B163" s="271"/>
      <c r="C163" s="17"/>
      <c r="D163" s="17"/>
      <c r="E163" s="17"/>
      <c r="F163" s="17"/>
      <c r="G163" s="5"/>
      <c r="H163" s="5"/>
      <c r="I163" s="5"/>
      <c r="J163" s="35"/>
      <c r="K163" s="9"/>
      <c r="L163" s="331"/>
      <c r="M163" s="3"/>
      <c r="P163" s="3"/>
      <c r="Q163" s="3"/>
      <c r="R163" s="3"/>
      <c r="U163" s="46"/>
      <c r="V163" s="46"/>
    </row>
    <row r="164" spans="2:22" ht="12.75">
      <c r="B164" s="271" t="s">
        <v>21</v>
      </c>
      <c r="C164" s="5"/>
      <c r="D164" s="5"/>
      <c r="E164" s="5"/>
      <c r="F164" s="5"/>
      <c r="G164" s="5"/>
      <c r="H164" s="35"/>
      <c r="I164" s="84">
        <f>IF('INGRESO DE DATOS'!G71="si",J41,0)</f>
        <v>0</v>
      </c>
      <c r="J164" s="35"/>
      <c r="K164" s="9"/>
      <c r="L164" s="331"/>
      <c r="M164" s="3"/>
      <c r="P164" s="3"/>
      <c r="Q164" s="3"/>
      <c r="R164" s="3"/>
      <c r="U164" s="49"/>
      <c r="V164" s="46"/>
    </row>
    <row r="165" spans="2:22" ht="12.75">
      <c r="B165" s="271" t="s">
        <v>33</v>
      </c>
      <c r="C165" s="5"/>
      <c r="D165" s="5"/>
      <c r="E165" s="5"/>
      <c r="F165" s="5"/>
      <c r="G165" s="5"/>
      <c r="H165" s="35"/>
      <c r="I165" s="5"/>
      <c r="J165" s="35"/>
      <c r="K165" s="9"/>
      <c r="L165" s="331"/>
      <c r="M165" s="3"/>
      <c r="P165" s="3"/>
      <c r="Q165" s="244"/>
      <c r="R165" s="3"/>
      <c r="U165" s="49"/>
      <c r="V165" s="46"/>
    </row>
    <row r="166" spans="2:22" ht="12.75">
      <c r="B166" s="271" t="s">
        <v>34</v>
      </c>
      <c r="C166" s="5"/>
      <c r="D166" s="5"/>
      <c r="E166" s="5"/>
      <c r="F166" s="5"/>
      <c r="G166" s="5"/>
      <c r="H166" s="35"/>
      <c r="I166" s="84">
        <f>IF(J24&gt;0,J41*(1-L30),J41)</f>
        <v>0</v>
      </c>
      <c r="J166" s="35"/>
      <c r="K166" s="9"/>
      <c r="L166" s="331"/>
      <c r="M166" s="3"/>
      <c r="N166" s="3"/>
      <c r="O166" s="104"/>
      <c r="P166" s="3"/>
      <c r="Q166" s="3"/>
      <c r="R166" s="3"/>
      <c r="U166" s="49"/>
      <c r="V166" s="46"/>
    </row>
    <row r="167" spans="2:22" ht="15">
      <c r="B167" s="271" t="s">
        <v>35</v>
      </c>
      <c r="C167" s="5"/>
      <c r="D167" s="5"/>
      <c r="E167" s="5"/>
      <c r="F167" s="5"/>
      <c r="G167" s="5"/>
      <c r="H167" s="35"/>
      <c r="I167" s="84">
        <f>IF(I166&lt;=0,0,IF(AND(I166&gt;0,I166&lt;=U49),I166,IF(AND(I166&gt;U49,I166&lt;=U51),U49,IF(AND(I166&gt;U51,I166&lt;=V51),U51,IF(AND(I166&gt;V51,I166&lt;=V52),V51,IF(AND(I166&gt;V52,I166&lt;=V53),V52,IF(I166&gt;U53,V53)))))))</f>
        <v>0</v>
      </c>
      <c r="J167" s="35"/>
      <c r="K167" s="84">
        <f>IF(AND(I166&gt;0,I166&lt;=V49),I166*0.085,IF(AND(I166&gt;V49,I166&lt;=V50),W49,IF(AND(I166&gt;V50,I166&lt;=V51),W50,IF(AND(I166&gt;V51,I166&lt;=V52),W51,IF(AND(I166&gt;V52,I166&lt;=V53),W52,IF(AND(I166&gt;V53),W53,0))))))</f>
        <v>0</v>
      </c>
      <c r="L167" s="331"/>
      <c r="N167" s="39"/>
      <c r="O167" s="166"/>
      <c r="P167" s="3"/>
      <c r="Q167" s="3"/>
      <c r="R167" s="3"/>
      <c r="U167" s="66"/>
      <c r="V167" s="46"/>
    </row>
    <row r="168" spans="2:15" ht="12.75">
      <c r="B168" s="271"/>
      <c r="C168" s="5"/>
      <c r="D168" s="5"/>
      <c r="E168" s="79">
        <f>IF(AND(I166&gt;0,I166&lt;=U49),8.5,IF(AND(I166&gt;U49,I166&lt;=V50),8,IF(AND(I166&gt;U50,I166&lt;=V51),7.5,IF(AND(I166&gt;U51,I166&lt;=V52),7,IF(AND(I166&gt;U52,I166&lt;=V53),6.5,IF(AND(I166&gt;U53),6,0))))))</f>
        <v>0</v>
      </c>
      <c r="F168" s="5" t="s">
        <v>24</v>
      </c>
      <c r="G168" s="5" t="s">
        <v>36</v>
      </c>
      <c r="H168" s="35"/>
      <c r="I168" s="84">
        <f>IF(I166&gt;=0,I166-I167)</f>
        <v>0</v>
      </c>
      <c r="J168" s="35"/>
      <c r="K168" s="84">
        <f>+(E168/100)*I168</f>
        <v>0</v>
      </c>
      <c r="L168" s="331"/>
      <c r="M168" s="39"/>
      <c r="N168" s="39"/>
      <c r="O168" s="166"/>
    </row>
    <row r="169" spans="2:15" ht="13.5" thickBot="1">
      <c r="B169" s="290"/>
      <c r="C169" s="5"/>
      <c r="D169" s="5"/>
      <c r="E169" s="5"/>
      <c r="F169" s="5"/>
      <c r="G169" s="5"/>
      <c r="H169" s="5"/>
      <c r="I169" s="9" t="s">
        <v>37</v>
      </c>
      <c r="J169" s="35"/>
      <c r="K169" s="84">
        <f>IF('INGRESO DE DATOS'!G58="no",0,SUM(K167:K168))</f>
        <v>0</v>
      </c>
      <c r="L169" s="331"/>
      <c r="M169" s="42"/>
      <c r="N169" s="39"/>
      <c r="O169" s="166"/>
    </row>
    <row r="170" spans="2:15" ht="13.5" thickBot="1">
      <c r="B170" s="271" t="s">
        <v>38</v>
      </c>
      <c r="C170" s="291"/>
      <c r="D170" s="291"/>
      <c r="E170" s="291"/>
      <c r="F170" s="291"/>
      <c r="G170" s="291"/>
      <c r="H170" s="291"/>
      <c r="I170" s="291"/>
      <c r="J170" s="293"/>
      <c r="K170" s="282"/>
      <c r="L170" s="278"/>
      <c r="M170" s="163"/>
      <c r="N170" s="39"/>
      <c r="O170" s="166"/>
    </row>
    <row r="171" spans="2:12" ht="12.75">
      <c r="B171" s="271" t="s">
        <v>65</v>
      </c>
      <c r="C171" s="5"/>
      <c r="D171" s="5"/>
      <c r="E171" s="5"/>
      <c r="F171" s="5"/>
      <c r="G171" s="5"/>
      <c r="H171" s="5"/>
      <c r="I171" s="5"/>
      <c r="J171" s="35"/>
      <c r="K171" s="84">
        <f>IF(K174=0,0,K175/10)</f>
        <v>0</v>
      </c>
      <c r="L171" s="331"/>
    </row>
    <row r="172" spans="2:12" ht="13.5" thickBot="1">
      <c r="B172" s="290"/>
      <c r="C172" s="5"/>
      <c r="D172" s="5"/>
      <c r="E172" s="5"/>
      <c r="F172" s="5"/>
      <c r="G172" s="5"/>
      <c r="H172" s="5"/>
      <c r="I172" s="5"/>
      <c r="J172" s="35"/>
      <c r="K172" s="84">
        <f>K169/10</f>
        <v>0</v>
      </c>
      <c r="L172" s="331"/>
    </row>
    <row r="173" spans="2:12" ht="13.5" thickBot="1">
      <c r="B173" s="332" t="s">
        <v>39</v>
      </c>
      <c r="C173" s="291"/>
      <c r="D173" s="291"/>
      <c r="E173" s="291"/>
      <c r="F173" s="291"/>
      <c r="G173" s="291"/>
      <c r="H173" s="291"/>
      <c r="I173" s="291"/>
      <c r="J173" s="293"/>
      <c r="K173" s="297"/>
      <c r="L173" s="278"/>
    </row>
    <row r="174" spans="2:31" ht="12.75">
      <c r="B174" s="271" t="s">
        <v>64</v>
      </c>
      <c r="C174" s="287"/>
      <c r="D174" s="287"/>
      <c r="E174" s="287"/>
      <c r="F174" s="287"/>
      <c r="G174" s="287"/>
      <c r="H174" s="288" t="s">
        <v>8</v>
      </c>
      <c r="I174" s="287"/>
      <c r="J174" s="261"/>
      <c r="K174" s="333">
        <f>IF((P57+P66+P73+P106+P96+P89+P82+P125+P134+P79+P114+P159+P146)=0,0,(+N73+N66+N125+N79+N82+N114+N89+N96+N106+N57+N134+N159+N146))</f>
        <v>0</v>
      </c>
      <c r="L174" s="329"/>
      <c r="S174" s="42"/>
      <c r="AC174" s="39"/>
      <c r="AD174" s="39"/>
      <c r="AE174" s="39"/>
    </row>
    <row r="175" spans="2:31" ht="13.5" thickBot="1">
      <c r="B175" s="290" t="s">
        <v>40</v>
      </c>
      <c r="C175" s="5"/>
      <c r="D175" s="5"/>
      <c r="E175" s="5"/>
      <c r="F175" s="5"/>
      <c r="G175" s="5"/>
      <c r="H175" s="9" t="s">
        <v>8</v>
      </c>
      <c r="I175" s="5"/>
      <c r="J175" s="35"/>
      <c r="K175" s="84" t="str">
        <f>'INGRESO DE DATOS'!$I$125</f>
        <v>ERROR</v>
      </c>
      <c r="L175" s="331"/>
      <c r="S175" s="239"/>
      <c r="AC175" s="39"/>
      <c r="AD175" s="39"/>
      <c r="AE175" s="39"/>
    </row>
    <row r="176" spans="2:31" ht="13.5" thickBot="1">
      <c r="B176" s="5"/>
      <c r="C176" s="291"/>
      <c r="D176" s="291"/>
      <c r="E176" s="291"/>
      <c r="F176" s="291"/>
      <c r="G176" s="291" t="s">
        <v>41</v>
      </c>
      <c r="H176" s="297" t="s">
        <v>8</v>
      </c>
      <c r="I176" s="291"/>
      <c r="J176" s="293"/>
      <c r="K176" s="297"/>
      <c r="L176" s="278"/>
      <c r="S176" s="39"/>
      <c r="AC176" s="39"/>
      <c r="AD176" s="39"/>
      <c r="AE176" s="39"/>
    </row>
    <row r="177" spans="2:31" ht="15.75" customHeight="1" thickBot="1">
      <c r="B177" s="334" t="s">
        <v>42</v>
      </c>
      <c r="C177" s="5"/>
      <c r="D177" s="5"/>
      <c r="E177" s="5"/>
      <c r="F177" s="5"/>
      <c r="G177" s="5"/>
      <c r="H177" s="5"/>
      <c r="I177" s="5"/>
      <c r="J177" s="35"/>
      <c r="K177" s="9"/>
      <c r="L177" s="39"/>
      <c r="S177" s="39"/>
      <c r="AC177" s="39"/>
      <c r="AD177" s="39"/>
      <c r="AE177" s="39"/>
    </row>
    <row r="178" spans="2:31" ht="13.5" thickBot="1">
      <c r="B178" s="39"/>
      <c r="C178" s="335"/>
      <c r="D178" s="335"/>
      <c r="E178" s="335"/>
      <c r="F178" s="335"/>
      <c r="G178" s="335"/>
      <c r="H178" s="335"/>
      <c r="I178" s="336"/>
      <c r="J178" s="337"/>
      <c r="K178" s="339">
        <f>IF(K174&lt;=0,0,IF(K174&gt;X121,K174,X121))</f>
        <v>0</v>
      </c>
      <c r="L178" s="338"/>
      <c r="S178" s="239"/>
      <c r="AC178" s="39"/>
      <c r="AD178" s="39"/>
      <c r="AE178" s="39"/>
    </row>
    <row r="179" spans="2:31" ht="12.75">
      <c r="B179" s="39"/>
      <c r="C179" s="39"/>
      <c r="D179" s="39"/>
      <c r="E179" s="39"/>
      <c r="F179" s="39"/>
      <c r="G179" s="39"/>
      <c r="H179" s="39"/>
      <c r="I179" s="39"/>
      <c r="J179" s="39"/>
      <c r="K179" s="84"/>
      <c r="L179" s="39"/>
      <c r="S179" s="39"/>
      <c r="AC179" s="39"/>
      <c r="AD179" s="167"/>
      <c r="AE179" s="39"/>
    </row>
    <row r="180" spans="3:31" ht="12.75">
      <c r="C180" s="39"/>
      <c r="D180" s="39"/>
      <c r="E180" s="39"/>
      <c r="F180" s="39"/>
      <c r="G180" s="39"/>
      <c r="H180" s="39"/>
      <c r="I180" s="39"/>
      <c r="J180" s="39"/>
      <c r="K180" s="164"/>
      <c r="L180" s="39"/>
      <c r="AC180" s="39"/>
      <c r="AD180" s="39"/>
      <c r="AE180" s="39"/>
    </row>
    <row r="183" ht="12.75">
      <c r="K183" s="365"/>
    </row>
    <row r="209" spans="6:7" ht="12.75">
      <c r="F209" s="1464"/>
      <c r="G209" s="1464"/>
    </row>
  </sheetData>
  <sheetProtection sheet="1" objects="1" scenarios="1"/>
  <mergeCells count="19">
    <mergeCell ref="F76:I76"/>
    <mergeCell ref="T113:U113"/>
    <mergeCell ref="B25:I25"/>
    <mergeCell ref="P23:Q23"/>
    <mergeCell ref="B24:C24"/>
    <mergeCell ref="E24:F24"/>
    <mergeCell ref="M30:O30"/>
    <mergeCell ref="B26:I26"/>
    <mergeCell ref="B27:I27"/>
    <mergeCell ref="F209:G209"/>
    <mergeCell ref="T102:W102"/>
    <mergeCell ref="H111:K111"/>
    <mergeCell ref="H100:K100"/>
    <mergeCell ref="T110:U110"/>
    <mergeCell ref="T111:U111"/>
    <mergeCell ref="T112:U112"/>
    <mergeCell ref="T121:V121"/>
    <mergeCell ref="T122:V122"/>
    <mergeCell ref="E133:F133"/>
  </mergeCells>
  <dataValidations count="1">
    <dataValidation type="list" allowBlank="1" showInputMessage="1" showErrorMessage="1" sqref="L30">
      <formula1>$AD$42:$AD$135</formula1>
    </dataValidation>
  </dataValidations>
  <printOptions/>
  <pageMargins left="0.75" right="0.75" top="1" bottom="1" header="0" footer="0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zoomScale="130" zoomScaleNormal="130" zoomScalePageLayoutView="0" workbookViewId="0" topLeftCell="A1">
      <selection activeCell="O30" sqref="O30"/>
    </sheetView>
  </sheetViews>
  <sheetFormatPr defaultColWidth="11.421875" defaultRowHeight="12.75"/>
  <cols>
    <col min="1" max="1" width="0.85546875" style="0" customWidth="1"/>
    <col min="2" max="2" width="7.140625" style="0" customWidth="1"/>
    <col min="3" max="3" width="15.28125" style="0" customWidth="1"/>
    <col min="4" max="4" width="12.421875" style="0" customWidth="1"/>
    <col min="5" max="5" width="8.28125" style="0" customWidth="1"/>
    <col min="6" max="6" width="11.421875" style="0" customWidth="1"/>
    <col min="7" max="7" width="12.8515625" style="0" customWidth="1"/>
    <col min="8" max="8" width="12.140625" style="0" customWidth="1"/>
    <col min="9" max="9" width="4.28125" style="0" customWidth="1"/>
    <col min="10" max="10" width="5.00390625" style="0" customWidth="1"/>
    <col min="11" max="11" width="4.8515625" style="0" customWidth="1"/>
    <col min="12" max="12" width="6.28125" style="0" customWidth="1"/>
    <col min="13" max="13" width="6.57421875" style="0" customWidth="1"/>
    <col min="14" max="14" width="0.71875" style="0" customWidth="1"/>
  </cols>
  <sheetData>
    <row r="1" spans="1:14" ht="3" customHeight="1">
      <c r="A1" s="849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</row>
    <row r="2" spans="1:14" ht="12.75">
      <c r="A2" s="849"/>
      <c r="N2" s="849"/>
    </row>
    <row r="3" spans="1:14" s="499" customFormat="1" ht="21" customHeight="1">
      <c r="A3" s="850"/>
      <c r="E3" s="499" t="s">
        <v>559</v>
      </c>
      <c r="N3" s="850"/>
    </row>
    <row r="4" spans="1:14" s="499" customFormat="1" ht="21" customHeight="1">
      <c r="A4" s="850"/>
      <c r="E4" s="499" t="s">
        <v>560</v>
      </c>
      <c r="N4" s="850"/>
    </row>
    <row r="5" spans="1:14" s="499" customFormat="1" ht="21" customHeight="1">
      <c r="A5" s="850"/>
      <c r="E5" s="1487" t="s">
        <v>561</v>
      </c>
      <c r="F5" s="1487"/>
      <c r="G5" s="1487"/>
      <c r="N5" s="850"/>
    </row>
    <row r="6" spans="1:14" ht="12.75">
      <c r="A6" s="849"/>
      <c r="G6" s="225"/>
      <c r="N6" s="849"/>
    </row>
    <row r="7" spans="1:14" ht="10.5" customHeight="1">
      <c r="A7" s="849"/>
      <c r="N7" s="849"/>
    </row>
    <row r="8" spans="1:14" ht="19.5">
      <c r="A8" s="849"/>
      <c r="D8" s="1490" t="s">
        <v>570</v>
      </c>
      <c r="E8" s="1490"/>
      <c r="F8" s="1490"/>
      <c r="G8" s="1490"/>
      <c r="H8" s="1490"/>
      <c r="I8" s="1490"/>
      <c r="J8" s="1490"/>
      <c r="K8" s="1490"/>
      <c r="L8" s="1490"/>
      <c r="N8" s="849"/>
    </row>
    <row r="9" spans="1:14" ht="12.75">
      <c r="A9" s="849"/>
      <c r="N9" s="849"/>
    </row>
    <row r="10" spans="1:14" ht="12.75">
      <c r="A10" s="849"/>
      <c r="B10" s="1488" t="s">
        <v>558</v>
      </c>
      <c r="C10" s="1488"/>
      <c r="D10" s="1488"/>
      <c r="E10" s="1489" t="str">
        <f>'INGRESO DE DATOS'!$G$23</f>
        <v>#</v>
      </c>
      <c r="F10" s="1489"/>
      <c r="G10" s="1489"/>
      <c r="H10" s="497" t="s">
        <v>556</v>
      </c>
      <c r="I10" s="1489" t="str">
        <f>'INGRESO DE DATOS'!$G$26</f>
        <v>#</v>
      </c>
      <c r="J10" s="1489"/>
      <c r="K10" s="1489"/>
      <c r="L10" s="1489"/>
      <c r="N10" s="849"/>
    </row>
    <row r="11" spans="1:14" ht="12.75">
      <c r="A11" s="849"/>
      <c r="B11" s="1488" t="s">
        <v>547</v>
      </c>
      <c r="C11" s="1488"/>
      <c r="D11" s="1488"/>
      <c r="E11" s="1489" t="str">
        <f>'INGRESO DE DATOS'!$G$6</f>
        <v>#</v>
      </c>
      <c r="F11" s="1489"/>
      <c r="G11" s="1489"/>
      <c r="H11" s="497"/>
      <c r="I11" s="497"/>
      <c r="J11" s="497"/>
      <c r="L11" s="163"/>
      <c r="N11" s="849"/>
    </row>
    <row r="12" spans="1:14" ht="12.75">
      <c r="A12" s="849"/>
      <c r="B12" s="1488" t="s">
        <v>548</v>
      </c>
      <c r="C12" s="1488"/>
      <c r="D12" s="1488"/>
      <c r="E12" s="1489" t="str">
        <f>'INGRESO DE DATOS'!$G$10</f>
        <v>#</v>
      </c>
      <c r="F12" s="1489"/>
      <c r="G12" s="1489"/>
      <c r="H12" s="497"/>
      <c r="I12" s="497"/>
      <c r="J12" s="497"/>
      <c r="L12" s="163"/>
      <c r="N12" s="849"/>
    </row>
    <row r="13" spans="1:14" ht="12.75">
      <c r="A13" s="849"/>
      <c r="B13" s="1488" t="s">
        <v>549</v>
      </c>
      <c r="C13" s="1488"/>
      <c r="D13" s="1488"/>
      <c r="E13" s="1489" t="str">
        <f>'INGRESO DE DATOS'!$G$16</f>
        <v>#</v>
      </c>
      <c r="F13" s="1489"/>
      <c r="G13" s="1489"/>
      <c r="H13" s="409" t="s">
        <v>550</v>
      </c>
      <c r="I13" s="1489" t="str">
        <f>'INGRESO DE DATOS'!$G$19</f>
        <v>#</v>
      </c>
      <c r="J13" s="1489"/>
      <c r="K13" s="1489"/>
      <c r="N13" s="849"/>
    </row>
    <row r="14" spans="1:14" ht="12.75">
      <c r="A14" s="849"/>
      <c r="B14" s="1488" t="s">
        <v>551</v>
      </c>
      <c r="C14" s="1488"/>
      <c r="D14" s="1488"/>
      <c r="E14" s="1489" t="str">
        <f>'INGRESO DE DATOS'!$G$22</f>
        <v>#</v>
      </c>
      <c r="F14" s="1489"/>
      <c r="G14" s="1489"/>
      <c r="H14" s="497"/>
      <c r="I14" s="497"/>
      <c r="J14" s="497"/>
      <c r="L14" s="163"/>
      <c r="N14" s="849"/>
    </row>
    <row r="15" spans="1:14" ht="13.5" thickBot="1">
      <c r="A15" s="849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N15" s="849"/>
    </row>
    <row r="16" spans="1:14" s="490" customFormat="1" ht="23.25" customHeight="1" thickBot="1">
      <c r="A16" s="851"/>
      <c r="B16" s="505" t="s">
        <v>516</v>
      </c>
      <c r="C16" s="506" t="s">
        <v>517</v>
      </c>
      <c r="D16" s="507"/>
      <c r="E16" s="508"/>
      <c r="F16" s="505" t="s">
        <v>555</v>
      </c>
      <c r="G16" s="585" t="s">
        <v>572</v>
      </c>
      <c r="H16" s="510" t="s">
        <v>557</v>
      </c>
      <c r="I16" s="1495" t="s">
        <v>518</v>
      </c>
      <c r="J16" s="1495"/>
      <c r="K16" s="1495"/>
      <c r="L16" s="1496"/>
      <c r="N16" s="851"/>
    </row>
    <row r="17" spans="1:14" ht="12.75">
      <c r="A17" s="849"/>
      <c r="B17" s="502">
        <v>1</v>
      </c>
      <c r="C17" s="1494" t="s">
        <v>519</v>
      </c>
      <c r="D17" s="1494"/>
      <c r="E17" s="1494"/>
      <c r="F17" s="509">
        <v>0.02</v>
      </c>
      <c r="G17" s="516">
        <v>1</v>
      </c>
      <c r="H17" s="509">
        <f aca="true" t="shared" si="0" ref="H17:H23">+F17-(F17*G17)</f>
        <v>0</v>
      </c>
      <c r="I17" s="1497"/>
      <c r="J17" s="1497"/>
      <c r="K17" s="1497"/>
      <c r="L17" s="1497"/>
      <c r="N17" s="849"/>
    </row>
    <row r="18" spans="1:14" ht="12.75">
      <c r="A18" s="849"/>
      <c r="B18" s="503">
        <v>2</v>
      </c>
      <c r="C18" s="1476" t="s">
        <v>520</v>
      </c>
      <c r="D18" s="1476"/>
      <c r="E18" s="1476"/>
      <c r="F18" s="504">
        <v>0.18</v>
      </c>
      <c r="G18" s="516">
        <v>1</v>
      </c>
      <c r="H18" s="509">
        <f t="shared" si="0"/>
        <v>0</v>
      </c>
      <c r="I18" s="1481"/>
      <c r="J18" s="1481"/>
      <c r="K18" s="1481"/>
      <c r="L18" s="1481"/>
      <c r="N18" s="849"/>
    </row>
    <row r="19" spans="1:14" ht="12.75">
      <c r="A19" s="849"/>
      <c r="B19" s="503">
        <v>3</v>
      </c>
      <c r="C19" s="1476" t="s">
        <v>521</v>
      </c>
      <c r="D19" s="1476"/>
      <c r="E19" s="1476"/>
      <c r="F19" s="504">
        <v>0.01</v>
      </c>
      <c r="G19" s="516">
        <v>1</v>
      </c>
      <c r="H19" s="509">
        <f t="shared" si="0"/>
        <v>0</v>
      </c>
      <c r="I19" s="1481"/>
      <c r="J19" s="1481"/>
      <c r="K19" s="1481"/>
      <c r="L19" s="1481"/>
      <c r="N19" s="849"/>
    </row>
    <row r="20" spans="1:14" ht="12.75">
      <c r="A20" s="849"/>
      <c r="B20" s="503">
        <v>4</v>
      </c>
      <c r="C20" s="1476" t="s">
        <v>565</v>
      </c>
      <c r="D20" s="1476"/>
      <c r="E20" s="1476"/>
      <c r="F20" s="504">
        <v>0.14</v>
      </c>
      <c r="G20" s="516">
        <v>1</v>
      </c>
      <c r="H20" s="509">
        <f t="shared" si="0"/>
        <v>0</v>
      </c>
      <c r="I20" s="1481"/>
      <c r="J20" s="1481"/>
      <c r="K20" s="1481"/>
      <c r="L20" s="1481"/>
      <c r="N20" s="849"/>
    </row>
    <row r="21" spans="1:14" ht="12.75">
      <c r="A21" s="849"/>
      <c r="B21" s="503">
        <v>5</v>
      </c>
      <c r="C21" s="1476" t="s">
        <v>522</v>
      </c>
      <c r="D21" s="1476"/>
      <c r="E21" s="1476"/>
      <c r="F21" s="504">
        <v>0.03</v>
      </c>
      <c r="G21" s="516">
        <v>1</v>
      </c>
      <c r="H21" s="509">
        <f t="shared" si="0"/>
        <v>0</v>
      </c>
      <c r="I21" s="1481"/>
      <c r="J21" s="1481"/>
      <c r="K21" s="1481"/>
      <c r="L21" s="1481"/>
      <c r="N21" s="849"/>
    </row>
    <row r="22" spans="1:14" ht="12.75">
      <c r="A22" s="849"/>
      <c r="B22" s="503">
        <v>6</v>
      </c>
      <c r="C22" s="1476" t="s">
        <v>523</v>
      </c>
      <c r="D22" s="1476"/>
      <c r="E22" s="1476"/>
      <c r="F22" s="504">
        <v>0.06</v>
      </c>
      <c r="G22" s="516">
        <v>1</v>
      </c>
      <c r="H22" s="509">
        <f t="shared" si="0"/>
        <v>0</v>
      </c>
      <c r="I22" s="1481"/>
      <c r="J22" s="1481"/>
      <c r="K22" s="1481"/>
      <c r="L22" s="1481"/>
      <c r="N22" s="849"/>
    </row>
    <row r="23" spans="1:16" ht="12.75">
      <c r="A23" s="849"/>
      <c r="B23" s="503">
        <v>7</v>
      </c>
      <c r="C23" s="1476" t="s">
        <v>524</v>
      </c>
      <c r="D23" s="1476"/>
      <c r="E23" s="1476"/>
      <c r="F23" s="504">
        <v>0.01</v>
      </c>
      <c r="G23" s="516">
        <v>1</v>
      </c>
      <c r="H23" s="509">
        <f t="shared" si="0"/>
        <v>0</v>
      </c>
      <c r="I23" s="1481"/>
      <c r="J23" s="1481"/>
      <c r="K23" s="1481"/>
      <c r="L23" s="1481"/>
      <c r="N23" s="849"/>
      <c r="P23" s="225"/>
    </row>
    <row r="24" spans="1:16" s="490" customFormat="1" ht="15.75" customHeight="1">
      <c r="A24" s="851"/>
      <c r="B24" s="501">
        <v>8</v>
      </c>
      <c r="C24" s="1477" t="s">
        <v>525</v>
      </c>
      <c r="D24" s="1478"/>
      <c r="E24" s="1478"/>
      <c r="F24" s="493"/>
      <c r="G24" s="516"/>
      <c r="H24" s="493"/>
      <c r="I24" s="355"/>
      <c r="J24" s="355"/>
      <c r="K24" s="355"/>
      <c r="L24" s="355"/>
      <c r="N24" s="851"/>
      <c r="P24" s="820"/>
    </row>
    <row r="25" spans="1:14" ht="12.75">
      <c r="A25" s="849"/>
      <c r="B25" s="503">
        <v>8.1</v>
      </c>
      <c r="C25" s="1476" t="s">
        <v>526</v>
      </c>
      <c r="D25" s="1476"/>
      <c r="E25" s="1476"/>
      <c r="F25" s="504">
        <v>0.03</v>
      </c>
      <c r="G25" s="516">
        <v>1</v>
      </c>
      <c r="H25" s="504">
        <f>+F25-(F25*G25)</f>
        <v>0</v>
      </c>
      <c r="I25" s="1481"/>
      <c r="J25" s="1481"/>
      <c r="K25" s="1481"/>
      <c r="L25" s="1481"/>
      <c r="N25" s="849"/>
    </row>
    <row r="26" spans="1:14" ht="12.75">
      <c r="A26" s="849"/>
      <c r="B26" s="503">
        <v>8.2</v>
      </c>
      <c r="C26" s="1476" t="s">
        <v>527</v>
      </c>
      <c r="D26" s="1476"/>
      <c r="E26" s="1476"/>
      <c r="F26" s="504">
        <v>0.03</v>
      </c>
      <c r="G26" s="516">
        <v>1</v>
      </c>
      <c r="H26" s="509">
        <f>+F26-(F26*G26)</f>
        <v>0</v>
      </c>
      <c r="I26" s="1481"/>
      <c r="J26" s="1481"/>
      <c r="K26" s="1481"/>
      <c r="L26" s="1481"/>
      <c r="N26" s="849"/>
    </row>
    <row r="27" spans="1:14" ht="12.75">
      <c r="A27" s="849"/>
      <c r="B27" s="503">
        <v>8.3</v>
      </c>
      <c r="C27" s="1476" t="s">
        <v>528</v>
      </c>
      <c r="D27" s="1476"/>
      <c r="E27" s="1476"/>
      <c r="F27" s="504">
        <v>0.03</v>
      </c>
      <c r="G27" s="516">
        <v>1</v>
      </c>
      <c r="H27" s="509">
        <f>+F27-(F27*G27)</f>
        <v>0</v>
      </c>
      <c r="I27" s="1481"/>
      <c r="J27" s="1481"/>
      <c r="K27" s="1481"/>
      <c r="L27" s="1481"/>
      <c r="N27" s="849"/>
    </row>
    <row r="28" spans="1:14" ht="12.75">
      <c r="A28" s="849"/>
      <c r="B28" s="503">
        <v>9</v>
      </c>
      <c r="C28" s="1476" t="s">
        <v>529</v>
      </c>
      <c r="D28" s="1476"/>
      <c r="E28" s="1476"/>
      <c r="F28" s="504">
        <v>0.02</v>
      </c>
      <c r="G28" s="516">
        <v>1</v>
      </c>
      <c r="H28" s="509">
        <f>+F28-(F28*G28)</f>
        <v>0</v>
      </c>
      <c r="I28" s="1481"/>
      <c r="J28" s="1481"/>
      <c r="K28" s="1481"/>
      <c r="L28" s="1481"/>
      <c r="N28" s="849"/>
    </row>
    <row r="29" spans="1:14" s="490" customFormat="1" ht="15.75" customHeight="1">
      <c r="A29" s="851"/>
      <c r="B29" s="501">
        <v>10</v>
      </c>
      <c r="C29" s="1477" t="s">
        <v>530</v>
      </c>
      <c r="D29" s="1478"/>
      <c r="E29" s="1478"/>
      <c r="F29" s="493"/>
      <c r="G29" s="516">
        <v>1</v>
      </c>
      <c r="H29" s="493"/>
      <c r="I29" s="494"/>
      <c r="J29" s="355"/>
      <c r="K29" s="355"/>
      <c r="L29" s="355"/>
      <c r="N29" s="851"/>
    </row>
    <row r="30" spans="1:14" ht="12.75">
      <c r="A30" s="849"/>
      <c r="B30" s="503">
        <v>10.1</v>
      </c>
      <c r="C30" s="1476" t="s">
        <v>531</v>
      </c>
      <c r="D30" s="1476"/>
      <c r="E30" s="1476"/>
      <c r="F30" s="504">
        <v>0.01</v>
      </c>
      <c r="G30" s="516">
        <v>1</v>
      </c>
      <c r="H30" s="504">
        <f aca="true" t="shared" si="1" ref="H30:H36">+F30-(F30*G30)</f>
        <v>0</v>
      </c>
      <c r="I30" s="1481"/>
      <c r="J30" s="1481"/>
      <c r="K30" s="1481"/>
      <c r="L30" s="1481"/>
      <c r="N30" s="849"/>
    </row>
    <row r="31" spans="1:14" ht="12.75">
      <c r="A31" s="849"/>
      <c r="B31" s="503">
        <v>10.2</v>
      </c>
      <c r="C31" s="1476" t="s">
        <v>532</v>
      </c>
      <c r="D31" s="1476"/>
      <c r="E31" s="1476"/>
      <c r="F31" s="504">
        <v>0.01</v>
      </c>
      <c r="G31" s="516">
        <v>1</v>
      </c>
      <c r="H31" s="509">
        <f t="shared" si="1"/>
        <v>0</v>
      </c>
      <c r="I31" s="1481"/>
      <c r="J31" s="1481"/>
      <c r="K31" s="1481"/>
      <c r="L31" s="1481"/>
      <c r="N31" s="849"/>
    </row>
    <row r="32" spans="1:14" ht="12.75">
      <c r="A32" s="849"/>
      <c r="B32" s="503">
        <v>11</v>
      </c>
      <c r="C32" s="1476" t="s">
        <v>533</v>
      </c>
      <c r="D32" s="1476"/>
      <c r="E32" s="1476"/>
      <c r="F32" s="504">
        <v>0.02</v>
      </c>
      <c r="G32" s="516">
        <v>1</v>
      </c>
      <c r="H32" s="509">
        <f t="shared" si="1"/>
        <v>0</v>
      </c>
      <c r="I32" s="1481"/>
      <c r="J32" s="1481"/>
      <c r="K32" s="1481"/>
      <c r="L32" s="1481"/>
      <c r="N32" s="849"/>
    </row>
    <row r="33" spans="1:14" ht="12.75">
      <c r="A33" s="849"/>
      <c r="B33" s="503">
        <v>12</v>
      </c>
      <c r="C33" s="1476" t="s">
        <v>534</v>
      </c>
      <c r="D33" s="1476"/>
      <c r="E33" s="1476"/>
      <c r="F33" s="504">
        <v>0.04</v>
      </c>
      <c r="G33" s="516">
        <v>1</v>
      </c>
      <c r="H33" s="509">
        <f t="shared" si="1"/>
        <v>0</v>
      </c>
      <c r="I33" s="1481"/>
      <c r="J33" s="1481"/>
      <c r="K33" s="1481"/>
      <c r="L33" s="1481"/>
      <c r="N33" s="849"/>
    </row>
    <row r="34" spans="1:14" ht="12.75">
      <c r="A34" s="849"/>
      <c r="B34" s="503">
        <v>13</v>
      </c>
      <c r="C34" s="1476" t="s">
        <v>568</v>
      </c>
      <c r="D34" s="1476"/>
      <c r="E34" s="1476"/>
      <c r="F34" s="504">
        <v>0.08</v>
      </c>
      <c r="G34" s="516">
        <v>1</v>
      </c>
      <c r="H34" s="509">
        <f t="shared" si="1"/>
        <v>0</v>
      </c>
      <c r="I34" s="1481"/>
      <c r="J34" s="1481"/>
      <c r="K34" s="1481"/>
      <c r="L34" s="1481"/>
      <c r="N34" s="849"/>
    </row>
    <row r="35" spans="1:14" ht="12.75">
      <c r="A35" s="849"/>
      <c r="B35" s="503">
        <v>14</v>
      </c>
      <c r="C35" s="1476" t="s">
        <v>566</v>
      </c>
      <c r="D35" s="1476"/>
      <c r="E35" s="1476"/>
      <c r="F35" s="504">
        <v>0.04</v>
      </c>
      <c r="G35" s="516">
        <v>1</v>
      </c>
      <c r="H35" s="509">
        <f t="shared" si="1"/>
        <v>0</v>
      </c>
      <c r="I35" s="1481"/>
      <c r="J35" s="1481"/>
      <c r="K35" s="1481"/>
      <c r="L35" s="1481"/>
      <c r="N35" s="849"/>
    </row>
    <row r="36" spans="1:14" ht="12.75">
      <c r="A36" s="849"/>
      <c r="B36" s="503">
        <v>15</v>
      </c>
      <c r="C36" s="1476" t="s">
        <v>567</v>
      </c>
      <c r="D36" s="1476"/>
      <c r="E36" s="1476"/>
      <c r="F36" s="504">
        <v>0.04</v>
      </c>
      <c r="G36" s="516">
        <v>1</v>
      </c>
      <c r="H36" s="509">
        <f t="shared" si="1"/>
        <v>0</v>
      </c>
      <c r="I36" s="1481"/>
      <c r="J36" s="1481"/>
      <c r="K36" s="1481"/>
      <c r="L36" s="1481"/>
      <c r="N36" s="849"/>
    </row>
    <row r="37" spans="1:14" s="490" customFormat="1" ht="15.75" customHeight="1">
      <c r="A37" s="851"/>
      <c r="B37" s="501">
        <v>16</v>
      </c>
      <c r="C37" s="1477" t="s">
        <v>535</v>
      </c>
      <c r="D37" s="1478"/>
      <c r="E37" s="1478"/>
      <c r="F37" s="493"/>
      <c r="G37" s="516"/>
      <c r="H37" s="493"/>
      <c r="I37" s="494"/>
      <c r="J37" s="355"/>
      <c r="K37" s="355"/>
      <c r="L37" s="355"/>
      <c r="N37" s="851"/>
    </row>
    <row r="38" spans="1:14" ht="12.75">
      <c r="A38" s="849"/>
      <c r="B38" s="503">
        <v>16.1</v>
      </c>
      <c r="C38" s="1476" t="s">
        <v>536</v>
      </c>
      <c r="D38" s="1476"/>
      <c r="E38" s="1476"/>
      <c r="F38" s="504">
        <v>0.03</v>
      </c>
      <c r="G38" s="516">
        <v>1</v>
      </c>
      <c r="H38" s="504">
        <f aca="true" t="shared" si="2" ref="H38:H44">+F38-(F38*G38)</f>
        <v>0</v>
      </c>
      <c r="I38" s="1481"/>
      <c r="J38" s="1481"/>
      <c r="K38" s="1481"/>
      <c r="L38" s="1481"/>
      <c r="N38" s="849"/>
    </row>
    <row r="39" spans="1:14" ht="12.75">
      <c r="A39" s="849"/>
      <c r="B39" s="503">
        <v>16.2</v>
      </c>
      <c r="C39" s="1476" t="s">
        <v>569</v>
      </c>
      <c r="D39" s="1476"/>
      <c r="E39" s="1476"/>
      <c r="F39" s="504">
        <v>0.05</v>
      </c>
      <c r="G39" s="516">
        <v>1</v>
      </c>
      <c r="H39" s="509">
        <f t="shared" si="2"/>
        <v>0</v>
      </c>
      <c r="I39" s="1481"/>
      <c r="J39" s="1481"/>
      <c r="K39" s="1481"/>
      <c r="L39" s="1481"/>
      <c r="N39" s="849"/>
    </row>
    <row r="40" spans="1:14" ht="12.75">
      <c r="A40" s="849"/>
      <c r="B40" s="503">
        <v>17</v>
      </c>
      <c r="C40" s="1476" t="s">
        <v>537</v>
      </c>
      <c r="D40" s="1476"/>
      <c r="E40" s="1476"/>
      <c r="F40" s="504">
        <v>0.03</v>
      </c>
      <c r="G40" s="516">
        <v>1</v>
      </c>
      <c r="H40" s="509">
        <f t="shared" si="2"/>
        <v>0</v>
      </c>
      <c r="I40" s="1481"/>
      <c r="J40" s="1481"/>
      <c r="K40" s="1481"/>
      <c r="L40" s="1481"/>
      <c r="N40" s="849"/>
    </row>
    <row r="41" spans="1:14" ht="12.75">
      <c r="A41" s="849"/>
      <c r="B41" s="503">
        <v>18</v>
      </c>
      <c r="C41" s="1476" t="s">
        <v>538</v>
      </c>
      <c r="D41" s="1476"/>
      <c r="E41" s="1476"/>
      <c r="F41" s="504">
        <v>0.04</v>
      </c>
      <c r="G41" s="516">
        <v>1</v>
      </c>
      <c r="H41" s="509">
        <f t="shared" si="2"/>
        <v>0</v>
      </c>
      <c r="I41" s="1481"/>
      <c r="J41" s="1481"/>
      <c r="K41" s="1481"/>
      <c r="L41" s="1481"/>
      <c r="N41" s="849"/>
    </row>
    <row r="42" spans="1:14" ht="12.75">
      <c r="A42" s="849"/>
      <c r="B42" s="503">
        <v>19</v>
      </c>
      <c r="C42" s="1476" t="s">
        <v>539</v>
      </c>
      <c r="D42" s="1476"/>
      <c r="E42" s="1476"/>
      <c r="F42" s="504">
        <v>0.01</v>
      </c>
      <c r="G42" s="516">
        <v>1</v>
      </c>
      <c r="H42" s="509">
        <f t="shared" si="2"/>
        <v>0</v>
      </c>
      <c r="I42" s="1481"/>
      <c r="J42" s="1481"/>
      <c r="K42" s="1481"/>
      <c r="L42" s="1481"/>
      <c r="N42" s="849"/>
    </row>
    <row r="43" spans="1:14" ht="12.75">
      <c r="A43" s="849"/>
      <c r="B43" s="503">
        <v>20</v>
      </c>
      <c r="C43" s="1476" t="s">
        <v>540</v>
      </c>
      <c r="D43" s="1476"/>
      <c r="E43" s="1476"/>
      <c r="F43" s="504">
        <v>0.02</v>
      </c>
      <c r="G43" s="516">
        <v>1</v>
      </c>
      <c r="H43" s="509">
        <f t="shared" si="2"/>
        <v>0</v>
      </c>
      <c r="I43" s="1481"/>
      <c r="J43" s="1481"/>
      <c r="K43" s="1481"/>
      <c r="L43" s="1481"/>
      <c r="N43" s="849"/>
    </row>
    <row r="44" spans="1:14" ht="13.5" thickBot="1">
      <c r="A44" s="849"/>
      <c r="B44" s="500">
        <v>21</v>
      </c>
      <c r="C44" s="1486" t="s">
        <v>541</v>
      </c>
      <c r="D44" s="1486"/>
      <c r="E44" s="1486"/>
      <c r="F44" s="511">
        <v>0.02</v>
      </c>
      <c r="G44" s="516">
        <v>1</v>
      </c>
      <c r="H44" s="509">
        <f t="shared" si="2"/>
        <v>0</v>
      </c>
      <c r="I44" s="1481"/>
      <c r="J44" s="1481"/>
      <c r="K44" s="1481"/>
      <c r="L44" s="1481"/>
      <c r="N44" s="849"/>
    </row>
    <row r="45" spans="1:16" s="491" customFormat="1" ht="20.25" customHeight="1" thickBot="1">
      <c r="A45" s="852"/>
      <c r="B45" s="1484" t="s">
        <v>84</v>
      </c>
      <c r="C45" s="1485"/>
      <c r="D45" s="1485"/>
      <c r="E45" s="1485"/>
      <c r="F45" s="512">
        <f>SUM(F17:F44)</f>
        <v>1.0000000000000002</v>
      </c>
      <c r="G45" s="513">
        <v>0</v>
      </c>
      <c r="H45" s="775">
        <f>SUM(H17:H44)</f>
        <v>0</v>
      </c>
      <c r="I45" s="1480"/>
      <c r="J45" s="1480"/>
      <c r="K45" s="1480"/>
      <c r="L45" s="1480"/>
      <c r="N45" s="852"/>
      <c r="P45" s="514"/>
    </row>
    <row r="46" spans="1:16" s="491" customFormat="1" ht="3" customHeight="1" thickBot="1">
      <c r="A46" s="852"/>
      <c r="B46" s="772"/>
      <c r="C46" s="772"/>
      <c r="D46" s="772"/>
      <c r="E46" s="772"/>
      <c r="F46" s="773"/>
      <c r="G46" s="774"/>
      <c r="H46" s="496"/>
      <c r="I46" s="763"/>
      <c r="J46" s="763"/>
      <c r="K46" s="763"/>
      <c r="L46" s="763"/>
      <c r="N46" s="852"/>
      <c r="P46" s="514"/>
    </row>
    <row r="47" spans="1:16" s="491" customFormat="1" ht="20.25" customHeight="1" thickBot="1">
      <c r="A47" s="852"/>
      <c r="B47" s="1491" t="str">
        <f>IF(H45&gt;15%,"Debe Realizar  PROYECTO Y DIRECCION Por el Porcentaje Faltante de la Obra","  ")</f>
        <v>  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3"/>
      <c r="N47" s="852"/>
      <c r="P47" s="514"/>
    </row>
    <row r="48" spans="1:16" ht="5.25" customHeight="1">
      <c r="A48" s="849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N48" s="849"/>
      <c r="P48" s="343"/>
    </row>
    <row r="49" spans="1:21" s="492" customFormat="1" ht="18.75" customHeight="1">
      <c r="A49" s="853"/>
      <c r="B49" s="1483" t="s">
        <v>542</v>
      </c>
      <c r="C49" s="1483"/>
      <c r="D49" s="1483"/>
      <c r="E49" s="1483"/>
      <c r="F49" s="1483"/>
      <c r="G49" s="1483"/>
      <c r="H49" s="496">
        <f>+H45</f>
        <v>0</v>
      </c>
      <c r="I49" s="495"/>
      <c r="J49" s="495"/>
      <c r="K49" s="495"/>
      <c r="L49" s="495"/>
      <c r="N49" s="853"/>
      <c r="U49" s="498"/>
    </row>
    <row r="50" spans="1:14" ht="6.75" customHeight="1">
      <c r="A50" s="849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N50" s="849"/>
    </row>
    <row r="51" spans="1:14" ht="12.75">
      <c r="A51" s="849"/>
      <c r="B51" s="163"/>
      <c r="C51" s="163"/>
      <c r="D51" s="163" t="s">
        <v>543</v>
      </c>
      <c r="E51" s="163"/>
      <c r="F51" s="163"/>
      <c r="G51" s="163"/>
      <c r="H51" s="163"/>
      <c r="I51" s="163"/>
      <c r="J51" s="163"/>
      <c r="K51" s="163"/>
      <c r="L51" s="163"/>
      <c r="N51" s="849"/>
    </row>
    <row r="52" spans="1:16" ht="15">
      <c r="A52" s="849"/>
      <c r="B52" s="227" t="s">
        <v>564</v>
      </c>
      <c r="C52" s="163"/>
      <c r="D52" s="163"/>
      <c r="E52" s="163"/>
      <c r="G52" s="776" t="str">
        <f>IF(H45&lt;15%,"podra NO ser","Serà")</f>
        <v>podra NO ser</v>
      </c>
      <c r="H52" s="227" t="s">
        <v>563</v>
      </c>
      <c r="I52" s="163"/>
      <c r="J52" s="163"/>
      <c r="K52" s="163"/>
      <c r="L52" s="163"/>
      <c r="N52" s="849"/>
      <c r="P52" s="225"/>
    </row>
    <row r="53" spans="1:14" ht="12.75">
      <c r="A53" s="849"/>
      <c r="B53" s="227" t="s">
        <v>571</v>
      </c>
      <c r="C53" s="163"/>
      <c r="D53" s="163"/>
      <c r="E53" s="163"/>
      <c r="F53" s="515" t="str">
        <f>IF(H45&lt;15%,"de los Items 11-12-13-14-18-20 y 21.","  ")</f>
        <v>de los Items 11-12-13-14-18-20 y 21.</v>
      </c>
      <c r="G53" s="163"/>
      <c r="H53" s="163"/>
      <c r="I53" s="163"/>
      <c r="J53" s="163"/>
      <c r="K53" s="163"/>
      <c r="L53" s="163"/>
      <c r="N53" s="849"/>
    </row>
    <row r="54" spans="1:14" ht="12.75">
      <c r="A54" s="849"/>
      <c r="B54" s="163"/>
      <c r="C54" s="163"/>
      <c r="D54" s="163" t="s">
        <v>544</v>
      </c>
      <c r="E54" s="163"/>
      <c r="F54" s="163"/>
      <c r="G54" s="163"/>
      <c r="H54" s="163"/>
      <c r="I54" s="163"/>
      <c r="J54" s="163"/>
      <c r="K54" s="163"/>
      <c r="L54" s="163"/>
      <c r="N54" s="849"/>
    </row>
    <row r="55" spans="1:14" ht="12.75">
      <c r="A55" s="849"/>
      <c r="B55" s="163" t="s">
        <v>562</v>
      </c>
      <c r="C55" s="163"/>
      <c r="D55" s="163"/>
      <c r="E55" s="163"/>
      <c r="G55" s="163"/>
      <c r="H55" s="163"/>
      <c r="I55" s="163"/>
      <c r="J55" s="163"/>
      <c r="K55" s="163"/>
      <c r="L55" s="163"/>
      <c r="N55" s="849"/>
    </row>
    <row r="56" spans="1:14" ht="12.75">
      <c r="A56" s="849"/>
      <c r="B56" s="163"/>
      <c r="C56" s="163"/>
      <c r="D56" s="163"/>
      <c r="E56" s="163"/>
      <c r="F56" s="163"/>
      <c r="G56" s="163"/>
      <c r="H56" s="206"/>
      <c r="I56" s="206"/>
      <c r="J56" s="163"/>
      <c r="K56" s="163"/>
      <c r="L56" s="163"/>
      <c r="N56" s="849"/>
    </row>
    <row r="57" spans="1:14" ht="15" customHeight="1">
      <c r="A57" s="849"/>
      <c r="B57" s="1334" t="s">
        <v>554</v>
      </c>
      <c r="C57" s="1334"/>
      <c r="D57" s="1479" t="str">
        <f>'INGRESO DE DATOS'!$G$4</f>
        <v>#</v>
      </c>
      <c r="E57" s="1479"/>
      <c r="F57" s="1479"/>
      <c r="G57" s="1482" t="str">
        <f>'INGRESO DE DATOS'!$G$5</f>
        <v>#</v>
      </c>
      <c r="H57" s="1482"/>
      <c r="I57" s="1482"/>
      <c r="J57" s="1482"/>
      <c r="K57" s="1482"/>
      <c r="L57" s="1482"/>
      <c r="N57" s="849"/>
    </row>
    <row r="58" spans="1:14" ht="12.75">
      <c r="A58" s="849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N58" s="849"/>
    </row>
    <row r="59" spans="1:14" ht="12.75">
      <c r="A59" s="849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N59" s="849"/>
    </row>
    <row r="60" spans="1:14" ht="12.75">
      <c r="A60" s="849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N60" s="849"/>
    </row>
    <row r="61" spans="1:14" ht="9" customHeight="1">
      <c r="A61" s="849"/>
      <c r="B61" s="163"/>
      <c r="C61" s="163"/>
      <c r="D61" s="163"/>
      <c r="E61" s="163"/>
      <c r="G61" s="163"/>
      <c r="H61" s="163"/>
      <c r="I61" s="163"/>
      <c r="J61" s="163"/>
      <c r="K61" s="163"/>
      <c r="L61" s="163"/>
      <c r="N61" s="849"/>
    </row>
    <row r="62" spans="1:14" ht="12.75">
      <c r="A62" s="849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N62" s="849"/>
    </row>
    <row r="63" spans="1:14" ht="12.75">
      <c r="A63" s="849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N63" s="849"/>
    </row>
    <row r="64" spans="1:14" ht="12.75">
      <c r="A64" s="849"/>
      <c r="B64" s="163"/>
      <c r="C64" s="163"/>
      <c r="D64" s="163" t="s">
        <v>552</v>
      </c>
      <c r="E64" s="163"/>
      <c r="F64" s="163"/>
      <c r="G64" s="163"/>
      <c r="H64" s="163" t="s">
        <v>553</v>
      </c>
      <c r="I64" s="163"/>
      <c r="J64" s="163"/>
      <c r="K64" s="163"/>
      <c r="L64" s="163"/>
      <c r="N64" s="849"/>
    </row>
    <row r="65" spans="1:14" ht="12.75">
      <c r="A65" s="849"/>
      <c r="B65" s="163"/>
      <c r="C65" s="163"/>
      <c r="D65" s="163" t="s">
        <v>545</v>
      </c>
      <c r="E65" s="163"/>
      <c r="F65" s="163"/>
      <c r="G65" s="163"/>
      <c r="H65" s="163" t="s">
        <v>546</v>
      </c>
      <c r="I65" s="163"/>
      <c r="J65" s="163"/>
      <c r="K65" s="163"/>
      <c r="L65" s="163"/>
      <c r="N65" s="849"/>
    </row>
    <row r="66" spans="1:14" ht="10.5" customHeight="1">
      <c r="A66" s="849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N66" s="849"/>
    </row>
    <row r="67" spans="1:14" ht="12.75">
      <c r="A67" s="849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N67" s="849"/>
    </row>
    <row r="68" spans="1:14" ht="3" customHeight="1">
      <c r="A68" s="849"/>
      <c r="B68" s="849"/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</row>
  </sheetData>
  <sheetProtection password="CEAE" sheet="1" objects="1" scenarios="1"/>
  <mergeCells count="75">
    <mergeCell ref="C17:E17"/>
    <mergeCell ref="I13:K13"/>
    <mergeCell ref="B14:D14"/>
    <mergeCell ref="I31:L31"/>
    <mergeCell ref="C36:E36"/>
    <mergeCell ref="E12:G12"/>
    <mergeCell ref="E14:G14"/>
    <mergeCell ref="I34:L34"/>
    <mergeCell ref="I16:L16"/>
    <mergeCell ref="I17:L17"/>
    <mergeCell ref="I10:L10"/>
    <mergeCell ref="E10:G10"/>
    <mergeCell ref="E11:G11"/>
    <mergeCell ref="I35:L35"/>
    <mergeCell ref="I32:L32"/>
    <mergeCell ref="I25:L25"/>
    <mergeCell ref="I28:L28"/>
    <mergeCell ref="I33:L33"/>
    <mergeCell ref="I26:L26"/>
    <mergeCell ref="C34:E34"/>
    <mergeCell ref="E5:G5"/>
    <mergeCell ref="C27:E27"/>
    <mergeCell ref="C21:E21"/>
    <mergeCell ref="B13:D13"/>
    <mergeCell ref="E13:G13"/>
    <mergeCell ref="B11:D11"/>
    <mergeCell ref="B10:D10"/>
    <mergeCell ref="D8:L8"/>
    <mergeCell ref="I22:L22"/>
    <mergeCell ref="B12:D12"/>
    <mergeCell ref="C20:E20"/>
    <mergeCell ref="C19:E19"/>
    <mergeCell ref="I18:L18"/>
    <mergeCell ref="I19:L19"/>
    <mergeCell ref="I23:L23"/>
    <mergeCell ref="C22:E22"/>
    <mergeCell ref="C23:E23"/>
    <mergeCell ref="C18:E18"/>
    <mergeCell ref="I20:L20"/>
    <mergeCell ref="C43:E43"/>
    <mergeCell ref="G57:L57"/>
    <mergeCell ref="B49:G49"/>
    <mergeCell ref="B45:E45"/>
    <mergeCell ref="C44:E44"/>
    <mergeCell ref="I21:L21"/>
    <mergeCell ref="B47:L47"/>
    <mergeCell ref="I36:L36"/>
    <mergeCell ref="I30:L30"/>
    <mergeCell ref="I27:L27"/>
    <mergeCell ref="B57:C57"/>
    <mergeCell ref="D57:F57"/>
    <mergeCell ref="I45:L45"/>
    <mergeCell ref="I38:L38"/>
    <mergeCell ref="I39:L39"/>
    <mergeCell ref="I40:L40"/>
    <mergeCell ref="I41:L41"/>
    <mergeCell ref="I43:L43"/>
    <mergeCell ref="I42:L42"/>
    <mergeCell ref="I44:L44"/>
    <mergeCell ref="C38:E38"/>
    <mergeCell ref="C37:E37"/>
    <mergeCell ref="C39:E39"/>
    <mergeCell ref="C29:E29"/>
    <mergeCell ref="C41:E41"/>
    <mergeCell ref="C35:E35"/>
    <mergeCell ref="C30:E30"/>
    <mergeCell ref="C31:E31"/>
    <mergeCell ref="C32:E32"/>
    <mergeCell ref="C42:E42"/>
    <mergeCell ref="C33:E33"/>
    <mergeCell ref="C24:E24"/>
    <mergeCell ref="C25:E25"/>
    <mergeCell ref="C26:E26"/>
    <mergeCell ref="C28:E28"/>
    <mergeCell ref="C40:E40"/>
  </mergeCells>
  <printOptions/>
  <pageMargins left="0.7086614173228347" right="0.11811023622047245" top="0.6692913385826772" bottom="0.2755905511811024" header="0.1968503937007874" footer="0"/>
  <pageSetup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S15" sqref="S15"/>
    </sheetView>
  </sheetViews>
  <sheetFormatPr defaultColWidth="11.421875" defaultRowHeight="12.75"/>
  <cols>
    <col min="1" max="1" width="0.9921875" style="0" customWidth="1"/>
    <col min="3" max="3" width="17.421875" style="0" customWidth="1"/>
    <col min="4" max="4" width="1.421875" style="0" customWidth="1"/>
    <col min="5" max="5" width="9.140625" style="0" customWidth="1"/>
    <col min="6" max="6" width="7.28125" style="0" customWidth="1"/>
    <col min="7" max="7" width="9.00390625" style="0" customWidth="1"/>
    <col min="8" max="8" width="7.28125" style="0" customWidth="1"/>
    <col min="9" max="9" width="9.57421875" style="0" customWidth="1"/>
    <col min="10" max="10" width="8.00390625" style="0" customWidth="1"/>
    <col min="11" max="11" width="8.57421875" style="0" customWidth="1"/>
    <col min="12" max="12" width="9.00390625" style="0" customWidth="1"/>
    <col min="13" max="13" width="14.57421875" style="0" customWidth="1"/>
    <col min="14" max="14" width="8.8515625" style="0" customWidth="1"/>
    <col min="15" max="15" width="7.28125" style="0" customWidth="1"/>
    <col min="16" max="16" width="12.7109375" style="0" customWidth="1"/>
    <col min="17" max="17" width="0.9921875" style="0" customWidth="1"/>
    <col min="18" max="18" width="0.85546875" style="0" customWidth="1"/>
  </cols>
  <sheetData>
    <row r="1" spans="1:19" ht="3" customHeight="1">
      <c r="A1" s="866"/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163"/>
    </row>
    <row r="2" spans="1:19" ht="18.75">
      <c r="A2" s="866"/>
      <c r="B2" s="465"/>
      <c r="C2" s="420"/>
      <c r="D2" s="420"/>
      <c r="E2" s="1546"/>
      <c r="F2" s="1546"/>
      <c r="G2" s="1546"/>
      <c r="H2" s="1546"/>
      <c r="I2" s="1546"/>
      <c r="J2" s="420"/>
      <c r="K2" s="420"/>
      <c r="L2" s="420"/>
      <c r="M2" s="420"/>
      <c r="N2" s="420"/>
      <c r="O2" s="420"/>
      <c r="P2" s="420"/>
      <c r="Q2" s="344"/>
      <c r="R2" s="866"/>
      <c r="S2" s="163"/>
    </row>
    <row r="3" spans="1:19" ht="18.75">
      <c r="A3" s="866"/>
      <c r="B3" s="208"/>
      <c r="C3" s="163"/>
      <c r="D3" s="163"/>
      <c r="E3" s="1547"/>
      <c r="F3" s="1547"/>
      <c r="G3" s="1547"/>
      <c r="H3" s="1547"/>
      <c r="I3" s="1547"/>
      <c r="J3" s="163"/>
      <c r="K3" s="163"/>
      <c r="L3" s="163"/>
      <c r="M3" s="163"/>
      <c r="N3" s="163"/>
      <c r="O3" s="163"/>
      <c r="P3" s="163"/>
      <c r="Q3" s="345"/>
      <c r="R3" s="866"/>
      <c r="S3" s="163"/>
    </row>
    <row r="4" spans="1:19" ht="12.75">
      <c r="A4" s="866"/>
      <c r="B4" s="208"/>
      <c r="C4" s="163"/>
      <c r="D4" s="163"/>
      <c r="J4" s="163"/>
      <c r="K4" s="163"/>
      <c r="L4" s="163"/>
      <c r="M4" s="163"/>
      <c r="N4" s="163"/>
      <c r="O4" s="163"/>
      <c r="P4" s="163"/>
      <c r="Q4" s="345"/>
      <c r="R4" s="866"/>
      <c r="S4" s="163"/>
    </row>
    <row r="5" spans="1:19" ht="27.75" customHeight="1">
      <c r="A5" s="866"/>
      <c r="B5" s="208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345"/>
      <c r="R5" s="866"/>
      <c r="S5" s="163"/>
    </row>
    <row r="6" spans="1:19" ht="12.75">
      <c r="A6" s="866"/>
      <c r="B6" s="208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345"/>
      <c r="R6" s="866"/>
      <c r="S6" s="163"/>
    </row>
    <row r="7" spans="1:19" ht="27" customHeight="1">
      <c r="A7" s="866"/>
      <c r="B7" s="208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345"/>
      <c r="R7" s="866"/>
      <c r="S7" s="163"/>
    </row>
    <row r="8" spans="1:19" ht="12.75">
      <c r="A8" s="866"/>
      <c r="B8" s="208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345"/>
      <c r="R8" s="866"/>
      <c r="S8" s="163"/>
    </row>
    <row r="9" spans="1:19" ht="18" customHeight="1">
      <c r="A9" s="866"/>
      <c r="B9" s="1547" t="s">
        <v>561</v>
      </c>
      <c r="C9" s="1547"/>
      <c r="D9" s="1547"/>
      <c r="E9" s="1547"/>
      <c r="F9" s="154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345"/>
      <c r="R9" s="866"/>
      <c r="S9" s="163"/>
    </row>
    <row r="10" spans="1:19" ht="13.5" thickBot="1">
      <c r="A10" s="866"/>
      <c r="B10" s="208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345"/>
      <c r="R10" s="866"/>
      <c r="S10" s="163"/>
    </row>
    <row r="11" spans="1:19" ht="12.75" customHeight="1">
      <c r="A11" s="866"/>
      <c r="B11" s="208"/>
      <c r="C11" s="1527" t="s">
        <v>576</v>
      </c>
      <c r="D11" s="1528"/>
      <c r="E11" s="1528"/>
      <c r="F11" s="1528"/>
      <c r="G11" s="1528"/>
      <c r="H11" s="1528"/>
      <c r="I11" s="1528"/>
      <c r="J11" s="1528"/>
      <c r="K11" s="1528"/>
      <c r="L11" s="1528"/>
      <c r="M11" s="1529"/>
      <c r="N11" s="163"/>
      <c r="O11" s="163"/>
      <c r="P11" s="163"/>
      <c r="Q11" s="345"/>
      <c r="R11" s="866"/>
      <c r="S11" s="163"/>
    </row>
    <row r="12" spans="1:19" ht="12.75" customHeight="1">
      <c r="A12" s="866"/>
      <c r="B12" s="208"/>
      <c r="C12" s="1530"/>
      <c r="D12" s="1531"/>
      <c r="E12" s="1531"/>
      <c r="F12" s="1531"/>
      <c r="G12" s="1531"/>
      <c r="H12" s="1531"/>
      <c r="I12" s="1531"/>
      <c r="J12" s="1531"/>
      <c r="K12" s="1531"/>
      <c r="L12" s="1531"/>
      <c r="M12" s="1532"/>
      <c r="N12" s="163"/>
      <c r="O12" s="163"/>
      <c r="P12" s="163"/>
      <c r="Q12" s="345"/>
      <c r="R12" s="866"/>
      <c r="S12" s="163"/>
    </row>
    <row r="13" spans="1:19" ht="13.5" customHeight="1" thickBot="1">
      <c r="A13" s="866"/>
      <c r="B13" s="208"/>
      <c r="C13" s="1533"/>
      <c r="D13" s="1534"/>
      <c r="E13" s="1534"/>
      <c r="F13" s="1534"/>
      <c r="G13" s="1534"/>
      <c r="H13" s="1534"/>
      <c r="I13" s="1534"/>
      <c r="J13" s="1534"/>
      <c r="K13" s="1534"/>
      <c r="L13" s="1534"/>
      <c r="M13" s="1535"/>
      <c r="N13" s="163"/>
      <c r="O13" s="163"/>
      <c r="P13" s="163"/>
      <c r="Q13" s="345"/>
      <c r="R13" s="866"/>
      <c r="S13" s="163"/>
    </row>
    <row r="14" spans="1:19" ht="12.75">
      <c r="A14" s="866"/>
      <c r="B14" s="208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345"/>
      <c r="R14" s="866"/>
      <c r="S14" s="163"/>
    </row>
    <row r="15" spans="1:19" ht="24" customHeight="1">
      <c r="A15" s="866"/>
      <c r="B15" s="208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345"/>
      <c r="R15" s="866"/>
      <c r="S15" s="163"/>
    </row>
    <row r="16" spans="1:19" ht="12.75">
      <c r="A16" s="866"/>
      <c r="B16" s="208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345"/>
      <c r="R16" s="866"/>
      <c r="S16" s="163"/>
    </row>
    <row r="17" spans="1:19" ht="12.75">
      <c r="A17" s="866"/>
      <c r="B17" s="208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345"/>
      <c r="R17" s="866"/>
      <c r="S17" s="163"/>
    </row>
    <row r="18" spans="1:19" ht="15">
      <c r="A18" s="926"/>
      <c r="B18" s="525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7"/>
      <c r="R18" s="866"/>
      <c r="S18" s="163"/>
    </row>
    <row r="19" spans="1:19" ht="15">
      <c r="A19" s="926"/>
      <c r="B19" s="1523" t="s">
        <v>577</v>
      </c>
      <c r="C19" s="1524"/>
      <c r="D19" s="522"/>
      <c r="E19" s="1500" t="str">
        <f>'INGRESO DE DATOS'!$G$6</f>
        <v>#</v>
      </c>
      <c r="F19" s="1500"/>
      <c r="G19" s="1500"/>
      <c r="H19" s="1500"/>
      <c r="I19" s="1500"/>
      <c r="J19" s="1500"/>
      <c r="K19" s="1500"/>
      <c r="L19" s="521"/>
      <c r="M19" s="521"/>
      <c r="N19" s="521"/>
      <c r="O19" s="521"/>
      <c r="P19" s="521"/>
      <c r="Q19" s="527"/>
      <c r="R19" s="866"/>
      <c r="S19" s="163"/>
    </row>
    <row r="20" spans="1:19" ht="17.25" customHeight="1">
      <c r="A20" s="926"/>
      <c r="B20" s="1523" t="s">
        <v>578</v>
      </c>
      <c r="C20" s="1524"/>
      <c r="D20" s="522"/>
      <c r="E20" s="1500" t="str">
        <f>'INGRESO DE DATOS'!$G$23</f>
        <v>#</v>
      </c>
      <c r="F20" s="1500"/>
      <c r="G20" s="1500"/>
      <c r="H20" s="1500"/>
      <c r="I20" s="1500"/>
      <c r="J20" s="1520" t="s">
        <v>328</v>
      </c>
      <c r="K20" s="1520"/>
      <c r="L20" s="1520" t="str">
        <f>'INGRESO DE DATOS'!$G$26</f>
        <v>#</v>
      </c>
      <c r="M20" s="1520"/>
      <c r="N20" s="1520"/>
      <c r="O20" s="1521" t="str">
        <f>'INGRESO DE DATOS'!$G$27</f>
        <v>#</v>
      </c>
      <c r="P20" s="1521"/>
      <c r="Q20" s="1522"/>
      <c r="R20" s="866"/>
      <c r="S20" s="163"/>
    </row>
    <row r="21" spans="1:19" ht="20.25" customHeight="1">
      <c r="A21" s="926"/>
      <c r="B21" s="1523" t="s">
        <v>579</v>
      </c>
      <c r="C21" s="1524"/>
      <c r="D21" s="522"/>
      <c r="E21" s="928" t="s">
        <v>580</v>
      </c>
      <c r="F21" s="929" t="str">
        <f>'INGRESO DE DATOS'!$G$28</f>
        <v>#</v>
      </c>
      <c r="G21" s="928" t="s">
        <v>581</v>
      </c>
      <c r="H21" s="929" t="str">
        <f>'INGRESO DE DATOS'!$G$29</f>
        <v>#</v>
      </c>
      <c r="I21" s="928" t="s">
        <v>582</v>
      </c>
      <c r="J21" s="930" t="str">
        <f>'INGRESO DE DATOS'!$G$30</f>
        <v>#</v>
      </c>
      <c r="K21" s="931" t="s">
        <v>583</v>
      </c>
      <c r="L21" s="930" t="str">
        <f>'INGRESO DE DATOS'!$G$31</f>
        <v>#</v>
      </c>
      <c r="M21" s="928" t="s">
        <v>584</v>
      </c>
      <c r="N21" s="929" t="str">
        <f>'INGRESO DE DATOS'!$G$35</f>
        <v>#</v>
      </c>
      <c r="O21" s="928" t="s">
        <v>331</v>
      </c>
      <c r="P21" s="929" t="str">
        <f>'INGRESO DE DATOS'!$G$36</f>
        <v>#</v>
      </c>
      <c r="Q21" s="528"/>
      <c r="R21" s="866"/>
      <c r="S21" s="163"/>
    </row>
    <row r="22" spans="1:19" ht="15">
      <c r="A22" s="926"/>
      <c r="B22" s="526"/>
      <c r="C22" s="522"/>
      <c r="D22" s="522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7"/>
      <c r="R22" s="866"/>
      <c r="S22" s="163"/>
    </row>
    <row r="23" spans="1:19" ht="22.5" customHeight="1">
      <c r="A23" s="926"/>
      <c r="B23" s="1523" t="s">
        <v>585</v>
      </c>
      <c r="C23" s="1524"/>
      <c r="D23" s="522"/>
      <c r="E23" s="1521" t="str">
        <f>'INGRESO DE DATOS'!$G$16</f>
        <v>#</v>
      </c>
      <c r="F23" s="1521"/>
      <c r="G23" s="1521"/>
      <c r="H23" s="1521"/>
      <c r="I23" s="1521"/>
      <c r="J23" s="1521"/>
      <c r="K23" s="1521"/>
      <c r="L23" s="521"/>
      <c r="M23" s="521"/>
      <c r="N23" s="521"/>
      <c r="O23" s="521"/>
      <c r="P23" s="521"/>
      <c r="Q23" s="527"/>
      <c r="R23" s="866"/>
      <c r="S23" s="163"/>
    </row>
    <row r="24" spans="1:19" ht="19.5" customHeight="1">
      <c r="A24" s="926"/>
      <c r="B24" s="1523" t="s">
        <v>586</v>
      </c>
      <c r="C24" s="1524"/>
      <c r="D24" s="522"/>
      <c r="E24" s="1521" t="str">
        <f>'INGRESO DE DATOS'!$G$18</f>
        <v>#</v>
      </c>
      <c r="F24" s="1521"/>
      <c r="G24" s="1521"/>
      <c r="H24" s="1521"/>
      <c r="I24" s="1521"/>
      <c r="J24" s="1521"/>
      <c r="K24" s="1521"/>
      <c r="L24" s="521"/>
      <c r="M24" s="521"/>
      <c r="N24" s="521"/>
      <c r="O24" s="521"/>
      <c r="P24" s="521"/>
      <c r="Q24" s="527"/>
      <c r="R24" s="866"/>
      <c r="S24" s="163"/>
    </row>
    <row r="25" spans="1:19" ht="20.25" customHeight="1">
      <c r="A25" s="926"/>
      <c r="B25" s="1523" t="s">
        <v>587</v>
      </c>
      <c r="C25" s="1524"/>
      <c r="D25" s="522"/>
      <c r="E25" s="1521" t="str">
        <f>'INGRESO DE DATOS'!$G$19</f>
        <v>#</v>
      </c>
      <c r="F25" s="1521"/>
      <c r="G25" s="1521"/>
      <c r="H25" s="1521"/>
      <c r="I25" s="1521"/>
      <c r="J25" s="1521"/>
      <c r="K25" s="1521"/>
      <c r="L25" s="524"/>
      <c r="M25" s="524"/>
      <c r="N25" s="524"/>
      <c r="O25" s="521"/>
      <c r="P25" s="521"/>
      <c r="Q25" s="527"/>
      <c r="R25" s="866"/>
      <c r="S25" s="163"/>
    </row>
    <row r="26" spans="1:19" ht="15">
      <c r="A26" s="926"/>
      <c r="B26" s="1499"/>
      <c r="C26" s="1500"/>
      <c r="D26" s="523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7"/>
      <c r="R26" s="866"/>
      <c r="S26" s="163"/>
    </row>
    <row r="27" spans="1:19" ht="12.75">
      <c r="A27" s="866"/>
      <c r="B27" s="208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345"/>
      <c r="R27" s="866"/>
      <c r="S27" s="163"/>
    </row>
    <row r="28" spans="1:19" ht="12.75">
      <c r="A28" s="866"/>
      <c r="B28" s="208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345"/>
      <c r="R28" s="866"/>
      <c r="S28" s="163"/>
    </row>
    <row r="29" spans="1:19" ht="12.75">
      <c r="A29" s="866"/>
      <c r="B29" s="208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345"/>
      <c r="R29" s="866"/>
      <c r="S29" s="163"/>
    </row>
    <row r="30" spans="1:19" ht="12.75">
      <c r="A30" s="866"/>
      <c r="B30" s="208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345"/>
      <c r="R30" s="866"/>
      <c r="S30" s="163"/>
    </row>
    <row r="31" spans="1:19" ht="12.75">
      <c r="A31" s="866"/>
      <c r="B31" s="208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345"/>
      <c r="R31" s="866"/>
      <c r="S31" s="163"/>
    </row>
    <row r="32" spans="1:19" ht="12.75">
      <c r="A32" s="866"/>
      <c r="B32" s="208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345"/>
      <c r="R32" s="866"/>
      <c r="S32" s="163"/>
    </row>
    <row r="33" spans="1:19" ht="13.5" thickBot="1">
      <c r="A33" s="866"/>
      <c r="B33" s="208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345"/>
      <c r="R33" s="866"/>
      <c r="S33" s="163"/>
    </row>
    <row r="34" spans="1:19" ht="18" customHeight="1">
      <c r="A34" s="866"/>
      <c r="B34" s="1527" t="str">
        <f>'INGRESO DE DATOS'!B77</f>
        <v>  </v>
      </c>
      <c r="C34" s="1528"/>
      <c r="D34" s="1528"/>
      <c r="E34" s="1528"/>
      <c r="F34" s="1528"/>
      <c r="G34" s="1528"/>
      <c r="H34" s="1528"/>
      <c r="I34" s="1528"/>
      <c r="J34" s="1528"/>
      <c r="K34" s="1528"/>
      <c r="L34" s="1528"/>
      <c r="M34" s="1528"/>
      <c r="N34" s="1528"/>
      <c r="O34" s="1528"/>
      <c r="P34" s="1529"/>
      <c r="Q34" s="345"/>
      <c r="R34" s="866"/>
      <c r="S34" s="163"/>
    </row>
    <row r="35" spans="1:19" ht="6.75" customHeight="1">
      <c r="A35" s="866"/>
      <c r="B35" s="1530"/>
      <c r="C35" s="1531"/>
      <c r="D35" s="1531"/>
      <c r="E35" s="1531"/>
      <c r="F35" s="1531"/>
      <c r="G35" s="1531"/>
      <c r="H35" s="1531"/>
      <c r="I35" s="1531"/>
      <c r="J35" s="1531"/>
      <c r="K35" s="1531"/>
      <c r="L35" s="1531"/>
      <c r="M35" s="1531"/>
      <c r="N35" s="1531"/>
      <c r="O35" s="1531"/>
      <c r="P35" s="1532"/>
      <c r="Q35" s="345"/>
      <c r="R35" s="866"/>
      <c r="S35" s="163"/>
    </row>
    <row r="36" spans="1:19" ht="18" customHeight="1" thickBot="1">
      <c r="A36" s="866"/>
      <c r="B36" s="1533"/>
      <c r="C36" s="1534"/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5"/>
      <c r="Q36" s="345"/>
      <c r="R36" s="866"/>
      <c r="S36" s="163"/>
    </row>
    <row r="37" spans="1:19" ht="21" customHeight="1" thickBot="1">
      <c r="A37" s="866"/>
      <c r="B37" s="899" t="str">
        <f>'INGRESO DE DATOS'!$B$78</f>
        <v>  </v>
      </c>
      <c r="C37" s="1505" t="s">
        <v>8</v>
      </c>
      <c r="D37" s="1506"/>
      <c r="E37" s="1506"/>
      <c r="F37" s="1506"/>
      <c r="G37" s="1506"/>
      <c r="H37" s="1506"/>
      <c r="I37" s="1506"/>
      <c r="J37" s="1506"/>
      <c r="K37" s="1506"/>
      <c r="L37" s="1506"/>
      <c r="M37" s="1506"/>
      <c r="N37" s="1506"/>
      <c r="O37" s="1506"/>
      <c r="P37" s="1507"/>
      <c r="Q37" s="345"/>
      <c r="R37" s="866"/>
      <c r="S37" s="163"/>
    </row>
    <row r="38" spans="1:18" s="490" customFormat="1" ht="17.25" customHeight="1">
      <c r="A38" s="927"/>
      <c r="B38" s="646" t="str">
        <f>'INGRESO DE DATOS'!B79</f>
        <v>  </v>
      </c>
      <c r="C38" s="1514" t="str">
        <f>'INGRESO DE DATOS'!C79</f>
        <v>  </v>
      </c>
      <c r="D38" s="1515"/>
      <c r="E38" s="1515"/>
      <c r="F38" s="1515"/>
      <c r="G38" s="1515"/>
      <c r="H38" s="1515"/>
      <c r="I38" s="1515"/>
      <c r="J38" s="1515"/>
      <c r="K38" s="1515"/>
      <c r="L38" s="1515"/>
      <c r="M38" s="1515"/>
      <c r="N38" s="1515"/>
      <c r="O38" s="1516"/>
      <c r="P38" s="978" t="str">
        <f>'INGRESO DE DATOS'!J79</f>
        <v>  </v>
      </c>
      <c r="Q38" s="529"/>
      <c r="R38" s="927"/>
    </row>
    <row r="39" spans="1:18" s="490" customFormat="1" ht="17.25" customHeight="1">
      <c r="A39" s="927"/>
      <c r="B39" s="644" t="str">
        <f>'INGRESO DE DATOS'!B80</f>
        <v>  </v>
      </c>
      <c r="C39" s="1511" t="str">
        <f>'INGRESO DE DATOS'!C80</f>
        <v>  </v>
      </c>
      <c r="D39" s="1512"/>
      <c r="E39" s="1512"/>
      <c r="F39" s="1512"/>
      <c r="G39" s="1512"/>
      <c r="H39" s="1512"/>
      <c r="I39" s="1512"/>
      <c r="J39" s="1512"/>
      <c r="K39" s="1512"/>
      <c r="L39" s="1512"/>
      <c r="M39" s="1512"/>
      <c r="N39" s="1512"/>
      <c r="O39" s="1513"/>
      <c r="P39" s="979" t="str">
        <f>'INGRESO DE DATOS'!J80</f>
        <v>  </v>
      </c>
      <c r="Q39" s="529"/>
      <c r="R39" s="927"/>
    </row>
    <row r="40" spans="1:18" s="490" customFormat="1" ht="17.25" customHeight="1">
      <c r="A40" s="927"/>
      <c r="B40" s="644" t="str">
        <f>'INGRESO DE DATOS'!B81</f>
        <v>  </v>
      </c>
      <c r="C40" s="1517" t="str">
        <f>'INGRESO DE DATOS'!C81</f>
        <v>  </v>
      </c>
      <c r="D40" s="1518"/>
      <c r="E40" s="1518"/>
      <c r="F40" s="1518"/>
      <c r="G40" s="1518"/>
      <c r="H40" s="1518"/>
      <c r="I40" s="1518"/>
      <c r="J40" s="1518"/>
      <c r="K40" s="1518"/>
      <c r="L40" s="1518"/>
      <c r="M40" s="1518"/>
      <c r="N40" s="1518"/>
      <c r="O40" s="1519"/>
      <c r="P40" s="979" t="str">
        <f>'INGRESO DE DATOS'!J81</f>
        <v>  </v>
      </c>
      <c r="Q40" s="529"/>
      <c r="R40" s="927"/>
    </row>
    <row r="41" spans="1:18" s="490" customFormat="1" ht="17.25" customHeight="1">
      <c r="A41" s="927"/>
      <c r="B41" s="644" t="str">
        <f>'INGRESO DE DATOS'!B82</f>
        <v>  </v>
      </c>
      <c r="C41" s="1517" t="str">
        <f>'INGRESO DE DATOS'!C82</f>
        <v>  </v>
      </c>
      <c r="D41" s="1518"/>
      <c r="E41" s="1518"/>
      <c r="F41" s="1518"/>
      <c r="G41" s="1518"/>
      <c r="H41" s="1518"/>
      <c r="I41" s="1518"/>
      <c r="J41" s="1518"/>
      <c r="K41" s="1518"/>
      <c r="L41" s="1518"/>
      <c r="M41" s="1518"/>
      <c r="N41" s="1518"/>
      <c r="O41" s="1519"/>
      <c r="P41" s="979" t="str">
        <f>'INGRESO DE DATOS'!J82</f>
        <v>  </v>
      </c>
      <c r="Q41" s="529"/>
      <c r="R41" s="927"/>
    </row>
    <row r="42" spans="1:18" s="490" customFormat="1" ht="17.25" customHeight="1">
      <c r="A42" s="927"/>
      <c r="B42" s="644" t="str">
        <f>'INGRESO DE DATOS'!B83</f>
        <v>  </v>
      </c>
      <c r="C42" s="1511" t="str">
        <f>'INGRESO DE DATOS'!C83</f>
        <v>  </v>
      </c>
      <c r="D42" s="1512"/>
      <c r="E42" s="1512"/>
      <c r="F42" s="1512"/>
      <c r="G42" s="1512"/>
      <c r="H42" s="1512"/>
      <c r="I42" s="1512"/>
      <c r="J42" s="1512"/>
      <c r="K42" s="1512"/>
      <c r="L42" s="1512"/>
      <c r="M42" s="1512"/>
      <c r="N42" s="1512"/>
      <c r="O42" s="1513"/>
      <c r="P42" s="979" t="str">
        <f>'INGRESO DE DATOS'!J83</f>
        <v>  </v>
      </c>
      <c r="Q42" s="529"/>
      <c r="R42" s="927"/>
    </row>
    <row r="43" spans="1:18" s="490" customFormat="1" ht="17.25" customHeight="1">
      <c r="A43" s="927"/>
      <c r="B43" s="644" t="str">
        <f>'INGRESO DE DATOS'!B84</f>
        <v>  </v>
      </c>
      <c r="C43" s="1511" t="str">
        <f>'INGRESO DE DATOS'!C84</f>
        <v>  </v>
      </c>
      <c r="D43" s="1512"/>
      <c r="E43" s="1512"/>
      <c r="F43" s="1512"/>
      <c r="G43" s="1512"/>
      <c r="H43" s="1512"/>
      <c r="I43" s="1512"/>
      <c r="J43" s="1512"/>
      <c r="K43" s="1512"/>
      <c r="L43" s="1512"/>
      <c r="M43" s="1512"/>
      <c r="N43" s="1512"/>
      <c r="O43" s="1513"/>
      <c r="P43" s="979" t="str">
        <f>'INGRESO DE DATOS'!J84</f>
        <v>  </v>
      </c>
      <c r="Q43" s="529"/>
      <c r="R43" s="927"/>
    </row>
    <row r="44" spans="1:18" s="490" customFormat="1" ht="17.25" customHeight="1">
      <c r="A44" s="927"/>
      <c r="B44" s="644" t="str">
        <f>'INGRESO DE DATOS'!B85</f>
        <v>  </v>
      </c>
      <c r="C44" s="1511" t="str">
        <f>'INGRESO DE DATOS'!C85</f>
        <v>  </v>
      </c>
      <c r="D44" s="1512"/>
      <c r="E44" s="1512"/>
      <c r="F44" s="1512"/>
      <c r="G44" s="1512"/>
      <c r="H44" s="1512"/>
      <c r="I44" s="1512"/>
      <c r="J44" s="1512"/>
      <c r="K44" s="1512"/>
      <c r="L44" s="1512"/>
      <c r="M44" s="1512"/>
      <c r="N44" s="1512"/>
      <c r="O44" s="1513"/>
      <c r="P44" s="979" t="str">
        <f>'INGRESO DE DATOS'!J85</f>
        <v>  </v>
      </c>
      <c r="Q44" s="529"/>
      <c r="R44" s="927"/>
    </row>
    <row r="45" spans="1:18" s="490" customFormat="1" ht="17.25" customHeight="1" thickBot="1">
      <c r="A45" s="927"/>
      <c r="B45" s="645" t="str">
        <f>'INGRESO DE DATOS'!B86</f>
        <v>  </v>
      </c>
      <c r="C45" s="1508" t="str">
        <f>'INGRESO DE DATOS'!C86</f>
        <v>  </v>
      </c>
      <c r="D45" s="1509"/>
      <c r="E45" s="1509"/>
      <c r="F45" s="1509"/>
      <c r="G45" s="1509"/>
      <c r="H45" s="1509"/>
      <c r="I45" s="1509"/>
      <c r="J45" s="1509"/>
      <c r="K45" s="1509"/>
      <c r="L45" s="1509"/>
      <c r="M45" s="1509"/>
      <c r="N45" s="1509"/>
      <c r="O45" s="1510"/>
      <c r="P45" s="980" t="str">
        <f>'INGRESO DE DATOS'!J86</f>
        <v>  </v>
      </c>
      <c r="Q45" s="529"/>
      <c r="R45" s="927"/>
    </row>
    <row r="46" spans="1:19" ht="24" customHeight="1">
      <c r="A46" s="866"/>
      <c r="B46" s="1309" t="str">
        <f>'INGRESO DE DATOS'!$B$87</f>
        <v>  </v>
      </c>
      <c r="C46" s="1310"/>
      <c r="D46" s="1310"/>
      <c r="E46" s="1310"/>
      <c r="F46" s="1310"/>
      <c r="G46" s="1310"/>
      <c r="H46" s="1310"/>
      <c r="I46" s="1310"/>
      <c r="J46" s="1310"/>
      <c r="K46" s="1310"/>
      <c r="L46" s="1310"/>
      <c r="M46" s="1310"/>
      <c r="N46" s="1310"/>
      <c r="O46" s="1310"/>
      <c r="P46" s="1311"/>
      <c r="Q46" s="345"/>
      <c r="R46" s="866"/>
      <c r="S46" s="163"/>
    </row>
    <row r="47" spans="1:19" ht="12.75" customHeight="1">
      <c r="A47" s="866"/>
      <c r="B47" s="1536"/>
      <c r="C47" s="1537"/>
      <c r="D47" s="1537"/>
      <c r="E47" s="1537"/>
      <c r="F47" s="1537"/>
      <c r="G47" s="1537"/>
      <c r="H47" s="1537"/>
      <c r="I47" s="1537"/>
      <c r="J47" s="1537"/>
      <c r="K47" s="1537"/>
      <c r="L47" s="1537"/>
      <c r="M47" s="1537"/>
      <c r="N47" s="1537"/>
      <c r="O47" s="1537"/>
      <c r="P47" s="1538"/>
      <c r="Q47" s="345"/>
      <c r="R47" s="866"/>
      <c r="S47" s="163"/>
    </row>
    <row r="48" spans="1:19" ht="13.5" thickBot="1">
      <c r="A48" s="866"/>
      <c r="B48" s="1539"/>
      <c r="C48" s="1540"/>
      <c r="D48" s="1540"/>
      <c r="E48" s="1540"/>
      <c r="F48" s="1540"/>
      <c r="G48" s="1540"/>
      <c r="H48" s="1540"/>
      <c r="I48" s="1540"/>
      <c r="J48" s="1540"/>
      <c r="K48" s="1540"/>
      <c r="L48" s="1540"/>
      <c r="M48" s="1540"/>
      <c r="N48" s="1540"/>
      <c r="O48" s="1540"/>
      <c r="P48" s="1541"/>
      <c r="Q48" s="345"/>
      <c r="R48" s="866"/>
      <c r="S48" s="163"/>
    </row>
    <row r="49" spans="1:19" ht="12.75">
      <c r="A49" s="866"/>
      <c r="B49" s="208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345"/>
      <c r="R49" s="866"/>
      <c r="S49" s="163"/>
    </row>
    <row r="50" spans="1:19" ht="12.75">
      <c r="A50" s="866"/>
      <c r="B50" s="208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345"/>
      <c r="R50" s="866"/>
      <c r="S50" s="163"/>
    </row>
    <row r="51" spans="1:19" ht="13.5" thickBot="1">
      <c r="A51" s="866"/>
      <c r="B51" s="208"/>
      <c r="C51" s="163"/>
      <c r="D51" s="163"/>
      <c r="E51" s="163"/>
      <c r="F51" s="163"/>
      <c r="G51" s="163"/>
      <c r="H51" s="163"/>
      <c r="I51" s="453"/>
      <c r="J51" s="163"/>
      <c r="K51" s="163"/>
      <c r="L51" s="163"/>
      <c r="M51" s="163"/>
      <c r="N51" s="163"/>
      <c r="O51" s="163"/>
      <c r="P51" s="163"/>
      <c r="Q51" s="345"/>
      <c r="R51" s="866"/>
      <c r="S51" s="163"/>
    </row>
    <row r="52" spans="1:19" ht="17.25" customHeight="1">
      <c r="A52" s="866"/>
      <c r="B52" s="1501" t="s">
        <v>588</v>
      </c>
      <c r="C52" s="1502"/>
      <c r="D52" s="1542" t="str">
        <f>'INGRESO DE DATOS'!$K$81</f>
        <v> </v>
      </c>
      <c r="E52" s="1543"/>
      <c r="F52" s="163"/>
      <c r="G52" s="163"/>
      <c r="H52" s="163"/>
      <c r="I52" s="453"/>
      <c r="J52" s="163"/>
      <c r="K52" s="163"/>
      <c r="L52" s="163"/>
      <c r="M52" s="163"/>
      <c r="N52" s="163"/>
      <c r="O52" s="163"/>
      <c r="P52" s="163"/>
      <c r="Q52" s="345"/>
      <c r="R52" s="866"/>
      <c r="S52" s="163"/>
    </row>
    <row r="53" spans="1:20" ht="27.75" customHeight="1" thickBot="1">
      <c r="A53" s="866"/>
      <c r="B53" s="1503"/>
      <c r="C53" s="1504"/>
      <c r="D53" s="1544"/>
      <c r="E53" s="1545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345"/>
      <c r="R53" s="866"/>
      <c r="S53" s="163"/>
      <c r="T53" s="916" t="str">
        <f>IF(P47="si",AC51," ")</f>
        <v> </v>
      </c>
    </row>
    <row r="54" spans="1:20" ht="12.75" customHeight="1">
      <c r="A54" s="866"/>
      <c r="B54" s="208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345"/>
      <c r="R54" s="866"/>
      <c r="S54" s="163"/>
      <c r="T54" s="916"/>
    </row>
    <row r="55" spans="1:20" ht="12.75" customHeight="1">
      <c r="A55" s="866"/>
      <c r="B55" s="208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345"/>
      <c r="R55" s="866"/>
      <c r="S55" s="163"/>
      <c r="T55" s="916"/>
    </row>
    <row r="56" spans="1:20" ht="12.75" customHeight="1">
      <c r="A56" s="866"/>
      <c r="B56" s="208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345"/>
      <c r="R56" s="866"/>
      <c r="S56" s="163"/>
      <c r="T56" s="916"/>
    </row>
    <row r="57" spans="1:20" ht="12.75" customHeight="1">
      <c r="A57" s="866"/>
      <c r="B57" s="208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345"/>
      <c r="R57" s="866"/>
      <c r="S57" s="163"/>
      <c r="T57" s="916"/>
    </row>
    <row r="58" spans="1:20" ht="13.5" customHeight="1">
      <c r="A58" s="866"/>
      <c r="B58" s="208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345"/>
      <c r="R58" s="866"/>
      <c r="S58" s="163"/>
      <c r="T58" s="916"/>
    </row>
    <row r="59" spans="1:19" ht="12.75">
      <c r="A59" s="866"/>
      <c r="B59" s="208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345"/>
      <c r="R59" s="866"/>
      <c r="S59" s="163"/>
    </row>
    <row r="60" spans="1:19" ht="12.75">
      <c r="A60" s="866"/>
      <c r="B60" s="208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345"/>
      <c r="R60" s="866"/>
      <c r="S60" s="163"/>
    </row>
    <row r="61" spans="1:19" ht="12.75">
      <c r="A61" s="866"/>
      <c r="B61" s="1525" t="s">
        <v>589</v>
      </c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526"/>
      <c r="R61" s="866"/>
      <c r="S61" s="163"/>
    </row>
    <row r="62" spans="1:19" ht="12.75">
      <c r="A62" s="866"/>
      <c r="B62" s="208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345"/>
      <c r="R62" s="866"/>
      <c r="S62" s="163"/>
    </row>
    <row r="63" spans="1:19" ht="12.75">
      <c r="A63" s="866"/>
      <c r="B63" s="208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345"/>
      <c r="R63" s="866"/>
      <c r="S63" s="163"/>
    </row>
    <row r="64" spans="1:19" ht="12.75">
      <c r="A64" s="866"/>
      <c r="B64" s="208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345"/>
      <c r="R64" s="866"/>
      <c r="S64" s="163"/>
    </row>
    <row r="65" spans="1:19" ht="12.75">
      <c r="A65" s="866"/>
      <c r="B65" s="208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345"/>
      <c r="R65" s="866"/>
      <c r="S65" s="163"/>
    </row>
    <row r="66" spans="1:19" ht="11.25" customHeight="1">
      <c r="A66" s="866"/>
      <c r="B66" s="208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345"/>
      <c r="R66" s="866"/>
      <c r="S66" s="163"/>
    </row>
    <row r="67" spans="1:19" ht="12.75">
      <c r="A67" s="866"/>
      <c r="B67" s="208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345"/>
      <c r="R67" s="866"/>
      <c r="S67" s="163"/>
    </row>
    <row r="68" spans="1:19" ht="12.75">
      <c r="A68" s="866"/>
      <c r="B68" s="208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345"/>
      <c r="R68" s="866"/>
      <c r="S68" s="163"/>
    </row>
    <row r="69" spans="1:19" ht="6" customHeight="1">
      <c r="A69" s="866"/>
      <c r="B69" s="208"/>
      <c r="C69" s="227" t="s">
        <v>590</v>
      </c>
      <c r="D69" s="227"/>
      <c r="E69" s="163"/>
      <c r="F69" s="163"/>
      <c r="G69" s="163"/>
      <c r="H69" s="163"/>
      <c r="I69" s="163"/>
      <c r="J69" s="163"/>
      <c r="K69" s="163"/>
      <c r="L69" s="227" t="s">
        <v>590</v>
      </c>
      <c r="M69" s="163"/>
      <c r="N69" s="163"/>
      <c r="O69" s="163"/>
      <c r="P69" s="163"/>
      <c r="Q69" s="345"/>
      <c r="R69" s="866"/>
      <c r="S69" s="163"/>
    </row>
    <row r="70" spans="1:19" ht="12.75">
      <c r="A70" s="866"/>
      <c r="B70" s="208"/>
      <c r="C70" s="1498" t="s">
        <v>591</v>
      </c>
      <c r="D70" s="1498"/>
      <c r="E70" s="1498"/>
      <c r="F70" s="163"/>
      <c r="G70" s="163"/>
      <c r="H70" s="163"/>
      <c r="I70" s="163"/>
      <c r="J70" s="163"/>
      <c r="K70" s="163"/>
      <c r="L70" s="1334" t="s">
        <v>592</v>
      </c>
      <c r="M70" s="1334"/>
      <c r="N70" s="1334"/>
      <c r="O70" s="453"/>
      <c r="P70" s="163"/>
      <c r="Q70" s="345"/>
      <c r="R70" s="866"/>
      <c r="S70" s="163"/>
    </row>
    <row r="71" spans="1:19" ht="12.75">
      <c r="A71" s="866"/>
      <c r="B71" s="208"/>
      <c r="C71" s="1334" t="str">
        <f>'INGRESO DE DATOS'!$G$6</f>
        <v>#</v>
      </c>
      <c r="D71" s="1334"/>
      <c r="E71" s="1334"/>
      <c r="F71" s="163"/>
      <c r="G71" s="163"/>
      <c r="H71" s="163"/>
      <c r="I71" s="163"/>
      <c r="J71" s="163"/>
      <c r="K71" s="163"/>
      <c r="L71" s="1334" t="str">
        <f>'INGRESO DE DATOS'!$G$16</f>
        <v>#</v>
      </c>
      <c r="M71" s="1334"/>
      <c r="N71" s="1334"/>
      <c r="O71" s="453"/>
      <c r="P71" s="163"/>
      <c r="Q71" s="345"/>
      <c r="R71" s="866"/>
      <c r="S71" s="163"/>
    </row>
    <row r="72" spans="1:19" ht="12.75">
      <c r="A72" s="866"/>
      <c r="B72" s="208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345"/>
      <c r="R72" s="866"/>
      <c r="S72" s="163"/>
    </row>
    <row r="73" spans="1:19" ht="12.75">
      <c r="A73" s="866"/>
      <c r="B73" s="208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345"/>
      <c r="R73" s="866"/>
      <c r="S73" s="163"/>
    </row>
    <row r="74" spans="1:19" ht="12.75">
      <c r="A74" s="866"/>
      <c r="B74" s="208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345"/>
      <c r="R74" s="866"/>
      <c r="S74" s="163"/>
    </row>
    <row r="75" spans="1:19" ht="12.75">
      <c r="A75" s="866"/>
      <c r="B75" s="208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345"/>
      <c r="R75" s="866"/>
      <c r="S75" s="163"/>
    </row>
    <row r="76" spans="1:19" ht="12.75">
      <c r="A76" s="866"/>
      <c r="B76" s="208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345"/>
      <c r="R76" s="866"/>
      <c r="S76" s="163"/>
    </row>
    <row r="77" spans="1:19" ht="12.75">
      <c r="A77" s="866"/>
      <c r="B77" s="208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345"/>
      <c r="R77" s="866"/>
      <c r="S77" s="163"/>
    </row>
    <row r="78" spans="1:19" ht="12.75">
      <c r="A78" s="866"/>
      <c r="B78" s="208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345"/>
      <c r="R78" s="866"/>
      <c r="S78" s="163"/>
    </row>
    <row r="79" spans="1:19" ht="12.75">
      <c r="A79" s="866"/>
      <c r="B79" s="208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345"/>
      <c r="R79" s="866"/>
      <c r="S79" s="163"/>
    </row>
    <row r="80" spans="1:19" ht="12.75">
      <c r="A80" s="866"/>
      <c r="B80" s="208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345"/>
      <c r="R80" s="866"/>
      <c r="S80" s="163"/>
    </row>
    <row r="81" spans="1:19" ht="12.75">
      <c r="A81" s="866"/>
      <c r="B81" s="208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345"/>
      <c r="R81" s="866"/>
      <c r="S81" s="163"/>
    </row>
    <row r="82" spans="1:19" ht="12.75">
      <c r="A82" s="866"/>
      <c r="B82" s="208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345"/>
      <c r="R82" s="866"/>
      <c r="S82" s="163"/>
    </row>
    <row r="83" spans="1:19" ht="12.75">
      <c r="A83" s="866"/>
      <c r="B83" s="208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345"/>
      <c r="R83" s="866"/>
      <c r="S83" s="163"/>
    </row>
    <row r="84" spans="1:19" ht="12.75">
      <c r="A84" s="866"/>
      <c r="B84" s="208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345"/>
      <c r="R84" s="866"/>
      <c r="S84" s="163"/>
    </row>
    <row r="85" spans="1:19" ht="12.75">
      <c r="A85" s="866"/>
      <c r="B85" s="208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345"/>
      <c r="R85" s="866"/>
      <c r="S85" s="163"/>
    </row>
    <row r="86" spans="1:19" ht="12.75">
      <c r="A86" s="866"/>
      <c r="B86" s="208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345"/>
      <c r="R86" s="866"/>
      <c r="S86" s="163"/>
    </row>
    <row r="87" spans="1:19" ht="12.75">
      <c r="A87" s="866"/>
      <c r="B87" s="208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345"/>
      <c r="R87" s="866"/>
      <c r="S87" s="163"/>
    </row>
    <row r="88" spans="1:19" ht="12.75">
      <c r="A88" s="866"/>
      <c r="B88" s="466"/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346"/>
      <c r="R88" s="866"/>
      <c r="S88" s="163"/>
    </row>
    <row r="89" spans="1:19" ht="3" customHeight="1">
      <c r="A89" s="866"/>
      <c r="B89" s="866"/>
      <c r="C89" s="866"/>
      <c r="D89" s="866"/>
      <c r="E89" s="866"/>
      <c r="F89" s="866"/>
      <c r="G89" s="866"/>
      <c r="H89" s="866"/>
      <c r="I89" s="866"/>
      <c r="J89" s="866"/>
      <c r="K89" s="866"/>
      <c r="L89" s="866"/>
      <c r="M89" s="866"/>
      <c r="N89" s="866"/>
      <c r="O89" s="866"/>
      <c r="P89" s="866"/>
      <c r="Q89" s="866"/>
      <c r="R89" s="866"/>
      <c r="S89" s="163"/>
    </row>
  </sheetData>
  <sheetProtection password="CEAE" sheet="1" objects="1" scenarios="1"/>
  <mergeCells count="37">
    <mergeCell ref="D52:E53"/>
    <mergeCell ref="E2:I2"/>
    <mergeCell ref="E3:I3"/>
    <mergeCell ref="B9:F9"/>
    <mergeCell ref="C11:M13"/>
    <mergeCell ref="B19:C19"/>
    <mergeCell ref="E19:K19"/>
    <mergeCell ref="C42:O42"/>
    <mergeCell ref="C40:O40"/>
    <mergeCell ref="C39:O39"/>
    <mergeCell ref="B61:Q61"/>
    <mergeCell ref="B21:C21"/>
    <mergeCell ref="B23:C23"/>
    <mergeCell ref="B24:C24"/>
    <mergeCell ref="B25:C25"/>
    <mergeCell ref="E23:K23"/>
    <mergeCell ref="E24:K24"/>
    <mergeCell ref="E25:K25"/>
    <mergeCell ref="B34:P36"/>
    <mergeCell ref="B46:P48"/>
    <mergeCell ref="C38:O38"/>
    <mergeCell ref="C41:O41"/>
    <mergeCell ref="J20:K20"/>
    <mergeCell ref="O20:Q20"/>
    <mergeCell ref="L20:N20"/>
    <mergeCell ref="B20:C20"/>
    <mergeCell ref="E20:I20"/>
    <mergeCell ref="C70:E70"/>
    <mergeCell ref="L70:N70"/>
    <mergeCell ref="C71:E71"/>
    <mergeCell ref="L71:N71"/>
    <mergeCell ref="B26:C26"/>
    <mergeCell ref="B52:C53"/>
    <mergeCell ref="C37:P37"/>
    <mergeCell ref="C45:O45"/>
    <mergeCell ref="C44:O44"/>
    <mergeCell ref="C43:O43"/>
  </mergeCells>
  <printOptions/>
  <pageMargins left="0.7874015748031497" right="0" top="0" bottom="0" header="0.31496062992125984" footer="0.31496062992125984"/>
  <pageSetup horizontalDpi="300" verticalDpi="3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1"/>
  <sheetViews>
    <sheetView zoomScale="145" zoomScaleNormal="145" zoomScalePageLayoutView="0" workbookViewId="0" topLeftCell="A1">
      <selection activeCell="W67" sqref="W67:AC67"/>
    </sheetView>
  </sheetViews>
  <sheetFormatPr defaultColWidth="11.421875" defaultRowHeight="12.75"/>
  <cols>
    <col min="1" max="1" width="0.85546875" style="0" customWidth="1"/>
    <col min="2" max="43" width="1.7109375" style="0" customWidth="1"/>
    <col min="44" max="44" width="3.7109375" style="0" customWidth="1"/>
    <col min="45" max="48" width="1.7109375" style="0" customWidth="1"/>
    <col min="49" max="49" width="3.00390625" style="0" customWidth="1"/>
    <col min="50" max="52" width="1.7109375" style="0" customWidth="1"/>
    <col min="53" max="53" width="0.71875" style="0" customWidth="1"/>
    <col min="55" max="55" width="2.00390625" style="797" hidden="1" customWidth="1"/>
    <col min="56" max="58" width="11.421875" style="0" hidden="1" customWidth="1"/>
    <col min="59" max="59" width="6.421875" style="0" hidden="1" customWidth="1"/>
    <col min="60" max="60" width="3.00390625" style="0" hidden="1" customWidth="1"/>
    <col min="61" max="61" width="8.28125" style="183" hidden="1" customWidth="1"/>
    <col min="62" max="62" width="11.421875" style="183" hidden="1" customWidth="1"/>
    <col min="63" max="63" width="21.8515625" style="183" hidden="1" customWidth="1"/>
    <col min="64" max="64" width="12.00390625" style="183" hidden="1" customWidth="1"/>
    <col min="65" max="71" width="11.421875" style="0" hidden="1" customWidth="1"/>
    <col min="72" max="87" width="0" style="0" hidden="1" customWidth="1"/>
  </cols>
  <sheetData>
    <row r="1" spans="1:53" ht="3" customHeight="1">
      <c r="A1" s="1371"/>
      <c r="B1" s="1371"/>
      <c r="C1" s="1371"/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  <c r="Q1" s="1371"/>
      <c r="R1" s="1371"/>
      <c r="S1" s="1371"/>
      <c r="T1" s="1371"/>
      <c r="U1" s="1371"/>
      <c r="V1" s="1371"/>
      <c r="W1" s="1371"/>
      <c r="X1" s="1371"/>
      <c r="Y1" s="1371"/>
      <c r="Z1" s="1371"/>
      <c r="AA1" s="1371"/>
      <c r="AB1" s="1371"/>
      <c r="AC1" s="1371"/>
      <c r="AD1" s="1371"/>
      <c r="AE1" s="1371"/>
      <c r="AF1" s="1371"/>
      <c r="AG1" s="1371"/>
      <c r="AH1" s="1371"/>
      <c r="AI1" s="1371"/>
      <c r="AJ1" s="1371"/>
      <c r="AK1" s="1371"/>
      <c r="AL1" s="1371"/>
      <c r="AM1" s="1371"/>
      <c r="AN1" s="1371"/>
      <c r="AO1" s="1371"/>
      <c r="AP1" s="1371"/>
      <c r="AQ1" s="1371"/>
      <c r="AR1" s="1371"/>
      <c r="AS1" s="1371"/>
      <c r="AT1" s="1371"/>
      <c r="AU1" s="1371"/>
      <c r="AV1" s="1371"/>
      <c r="AW1" s="1371"/>
      <c r="AX1" s="1371"/>
      <c r="AY1" s="1371"/>
      <c r="AZ1" s="1371"/>
      <c r="BA1" s="1371"/>
    </row>
    <row r="2" spans="1:71" ht="12.75">
      <c r="A2" s="1371"/>
      <c r="BA2" s="1371"/>
      <c r="BK2" s="787"/>
      <c r="BL2" s="787"/>
      <c r="BM2" s="69"/>
      <c r="BN2" s="69"/>
      <c r="BO2" s="69"/>
      <c r="BP2" s="69"/>
      <c r="BQ2" s="69"/>
      <c r="BR2" s="69"/>
      <c r="BS2" s="69"/>
    </row>
    <row r="3" spans="1:53" ht="12.75">
      <c r="A3" s="1371"/>
      <c r="BA3" s="1371"/>
    </row>
    <row r="4" spans="1:53" ht="12.75">
      <c r="A4" s="1371"/>
      <c r="BA4" s="1371"/>
    </row>
    <row r="5" spans="1:53" ht="12.75">
      <c r="A5" s="1371"/>
      <c r="BA5" s="1371"/>
    </row>
    <row r="6" spans="1:53" ht="12.75">
      <c r="A6" s="1371"/>
      <c r="BA6" s="1371"/>
    </row>
    <row r="7" spans="1:53" ht="12.75">
      <c r="A7" s="1371"/>
      <c r="BA7" s="1371"/>
    </row>
    <row r="8" spans="1:53" ht="12.75">
      <c r="A8" s="1371"/>
      <c r="BA8" s="1371"/>
    </row>
    <row r="9" spans="1:53" ht="15.75">
      <c r="A9" s="1371"/>
      <c r="X9" s="1565" t="s">
        <v>421</v>
      </c>
      <c r="Y9" s="1565"/>
      <c r="Z9" s="1565"/>
      <c r="AA9" s="1565"/>
      <c r="AB9" s="1565"/>
      <c r="AC9" s="1565"/>
      <c r="AD9" s="1565"/>
      <c r="AE9" s="1565"/>
      <c r="AF9" s="1565"/>
      <c r="AG9" s="1565"/>
      <c r="AH9" s="1565"/>
      <c r="BA9" s="1371"/>
    </row>
    <row r="10" spans="1:53" ht="12.75">
      <c r="A10" s="1371"/>
      <c r="I10" s="1590" t="s">
        <v>422</v>
      </c>
      <c r="J10" s="1590"/>
      <c r="K10" s="1590"/>
      <c r="L10" s="1590"/>
      <c r="M10" s="1590"/>
      <c r="N10" s="1590"/>
      <c r="O10" s="1590"/>
      <c r="P10" s="1590"/>
      <c r="Q10" s="1590"/>
      <c r="R10" s="1590"/>
      <c r="S10" s="1590"/>
      <c r="T10" s="1590"/>
      <c r="U10" s="1590"/>
      <c r="V10" s="1590"/>
      <c r="W10" s="1590"/>
      <c r="X10" s="1590"/>
      <c r="Y10" s="1590"/>
      <c r="Z10" s="1590"/>
      <c r="AA10" s="1590"/>
      <c r="AB10" s="1590"/>
      <c r="AC10" s="1590"/>
      <c r="AD10" s="1590"/>
      <c r="AE10" s="1590"/>
      <c r="AF10" s="1590"/>
      <c r="AG10" s="1590"/>
      <c r="AH10" s="1590"/>
      <c r="AI10" s="1590"/>
      <c r="AJ10" s="1590"/>
      <c r="AK10" s="1590"/>
      <c r="AL10" s="1590"/>
      <c r="AM10" s="1590"/>
      <c r="AN10" s="1590"/>
      <c r="AO10" s="1590"/>
      <c r="AP10" s="1590"/>
      <c r="AQ10" s="1590"/>
      <c r="AR10" s="1590"/>
      <c r="AS10" s="1590"/>
      <c r="AT10" s="1590"/>
      <c r="AU10" s="1590"/>
      <c r="AV10" s="1590"/>
      <c r="AW10" s="1590"/>
      <c r="AX10" s="1590"/>
      <c r="BA10" s="1371"/>
    </row>
    <row r="11" spans="1:53" ht="6.75" customHeight="1">
      <c r="A11" s="1371"/>
      <c r="B11" s="387"/>
      <c r="BA11" s="1371"/>
    </row>
    <row r="12" spans="1:53" ht="15.75">
      <c r="A12" s="1371"/>
      <c r="T12" s="1591" t="s">
        <v>423</v>
      </c>
      <c r="U12" s="1591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1591"/>
      <c r="AJ12" s="1591"/>
      <c r="AK12" s="1591"/>
      <c r="AL12" s="1591"/>
      <c r="BA12" s="1371"/>
    </row>
    <row r="13" spans="1:53" ht="4.5" customHeight="1">
      <c r="A13" s="1371"/>
      <c r="B13" s="388"/>
      <c r="BA13" s="1371"/>
    </row>
    <row r="14" spans="1:64" s="450" customFormat="1" ht="12">
      <c r="A14" s="1371"/>
      <c r="T14" s="1566" t="s">
        <v>424</v>
      </c>
      <c r="U14" s="1566"/>
      <c r="V14" s="1566"/>
      <c r="W14" s="1566"/>
      <c r="X14" s="1566"/>
      <c r="Y14" s="1566"/>
      <c r="Z14" s="1566"/>
      <c r="AA14" s="1566"/>
      <c r="AB14" s="1566"/>
      <c r="AC14" s="1566"/>
      <c r="AD14" s="1566"/>
      <c r="AE14" s="1566"/>
      <c r="AF14" s="1566"/>
      <c r="AG14" s="1566"/>
      <c r="AH14" s="1566"/>
      <c r="AI14" s="1566"/>
      <c r="AJ14" s="1566"/>
      <c r="AK14" s="1566"/>
      <c r="AL14" s="1566"/>
      <c r="AM14" s="1566"/>
      <c r="AN14" s="1566"/>
      <c r="AO14" s="1566"/>
      <c r="AP14" s="1566"/>
      <c r="AQ14" s="1566"/>
      <c r="AR14" s="1566"/>
      <c r="BA14" s="1371"/>
      <c r="BC14" s="798"/>
      <c r="BI14" s="788"/>
      <c r="BJ14" s="788"/>
      <c r="BK14" s="788"/>
      <c r="BL14" s="788"/>
    </row>
    <row r="15" spans="1:53" ht="9.75" customHeight="1">
      <c r="A15" s="1371"/>
      <c r="B15" s="389"/>
      <c r="BA15" s="1371"/>
    </row>
    <row r="16" spans="1:53" ht="6.75" customHeight="1">
      <c r="A16" s="1371"/>
      <c r="B16" s="419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344"/>
      <c r="BA16" s="1371"/>
    </row>
    <row r="17" spans="1:53" ht="12.75">
      <c r="A17" s="1371"/>
      <c r="B17" s="421" t="s">
        <v>466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Z17" s="1489" t="str">
        <f>'INGRESO DE DATOS'!$G$5</f>
        <v>#</v>
      </c>
      <c r="AA17" s="1489"/>
      <c r="AB17" s="1489"/>
      <c r="AC17" s="1489"/>
      <c r="AD17" s="1489"/>
      <c r="AE17" s="1489"/>
      <c r="AF17" s="1489"/>
      <c r="AG17" s="1489"/>
      <c r="AH17" s="1489"/>
      <c r="AI17" s="1489"/>
      <c r="AJ17" s="1489"/>
      <c r="AK17" s="1489"/>
      <c r="AL17" s="1489"/>
      <c r="AM17" s="1489"/>
      <c r="AN17" s="1489"/>
      <c r="AO17" s="1489"/>
      <c r="AP17" s="1489"/>
      <c r="AQ17" s="1489"/>
      <c r="AR17" s="1489"/>
      <c r="AS17" s="1489"/>
      <c r="AT17" s="1489"/>
      <c r="AU17" s="1489"/>
      <c r="AV17" s="1489"/>
      <c r="AW17" s="1489"/>
      <c r="AX17" s="1489"/>
      <c r="AY17" s="1489"/>
      <c r="AZ17" s="345"/>
      <c r="BA17" s="1371"/>
    </row>
    <row r="18" spans="1:53" ht="8.25" customHeight="1">
      <c r="A18" s="1371"/>
      <c r="B18" s="421" t="s">
        <v>8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345"/>
      <c r="BA18" s="1371"/>
    </row>
    <row r="19" spans="1:53" ht="12.75">
      <c r="A19" s="1371"/>
      <c r="B19" s="421" t="s">
        <v>467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588" t="str">
        <f>'INGRESO DE DATOS'!$G$16</f>
        <v>#</v>
      </c>
      <c r="N19" s="1588"/>
      <c r="O19" s="1588"/>
      <c r="P19" s="1588"/>
      <c r="Q19" s="1588"/>
      <c r="R19" s="1588"/>
      <c r="S19" s="1588"/>
      <c r="T19" s="1588"/>
      <c r="U19" s="1588"/>
      <c r="V19" s="1588"/>
      <c r="W19" s="1588"/>
      <c r="X19" s="1588"/>
      <c r="Y19" s="1588"/>
      <c r="Z19" s="1588"/>
      <c r="AA19" s="1588"/>
      <c r="AB19" s="1588"/>
      <c r="AC19" s="1588"/>
      <c r="AD19" s="1588"/>
      <c r="AE19" s="1588"/>
      <c r="AF19" s="1588"/>
      <c r="AG19" s="1588"/>
      <c r="AH19" s="1588"/>
      <c r="AI19" s="1588"/>
      <c r="AJ19" s="1588"/>
      <c r="AK19" s="1588"/>
      <c r="AL19" s="1588"/>
      <c r="AM19" s="1588"/>
      <c r="AN19" s="1588"/>
      <c r="AO19" s="1588"/>
      <c r="AP19" s="1588"/>
      <c r="AQ19" s="1588"/>
      <c r="AR19" s="1588"/>
      <c r="AS19" s="1588"/>
      <c r="AT19" s="1588"/>
      <c r="AU19" s="1588"/>
      <c r="AV19" s="1588"/>
      <c r="AW19" s="1588"/>
      <c r="AX19" s="1588"/>
      <c r="AY19" s="1588"/>
      <c r="AZ19" s="345"/>
      <c r="BA19" s="1371"/>
    </row>
    <row r="20" spans="1:53" ht="6.75" customHeight="1">
      <c r="A20" s="1371"/>
      <c r="B20" s="42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345"/>
      <c r="BA20" s="1371"/>
    </row>
    <row r="21" spans="1:53" ht="11.25" customHeight="1">
      <c r="A21" s="1371"/>
      <c r="B21" s="421" t="s">
        <v>468</v>
      </c>
      <c r="C21" s="163"/>
      <c r="D21" s="163"/>
      <c r="E21" s="163"/>
      <c r="F21" s="163"/>
      <c r="G21" s="163"/>
      <c r="H21" s="163"/>
      <c r="I21" s="1588" t="str">
        <f>'INGRESO DE DATOS'!$G$23</f>
        <v>#</v>
      </c>
      <c r="J21" s="1588"/>
      <c r="K21" s="1588"/>
      <c r="L21" s="1588"/>
      <c r="M21" s="1588"/>
      <c r="N21" s="1588"/>
      <c r="O21" s="1588"/>
      <c r="P21" s="1588"/>
      <c r="Q21" s="1588"/>
      <c r="R21" s="1588"/>
      <c r="S21" s="1588"/>
      <c r="T21" s="1588"/>
      <c r="U21" s="1588"/>
      <c r="V21" s="1588"/>
      <c r="W21" s="1588"/>
      <c r="X21" s="1588"/>
      <c r="Y21" s="1588"/>
      <c r="Z21" s="1588"/>
      <c r="AA21" s="1588"/>
      <c r="AB21" s="1588"/>
      <c r="AC21" s="1588"/>
      <c r="AD21" s="1588"/>
      <c r="AE21" s="1588"/>
      <c r="AF21" s="1588"/>
      <c r="AG21" s="1588"/>
      <c r="AH21" s="1588"/>
      <c r="AI21" s="1588"/>
      <c r="AJ21" s="1588"/>
      <c r="AK21" s="1588"/>
      <c r="AL21" s="1588"/>
      <c r="AM21" s="1588"/>
      <c r="AN21" s="1588"/>
      <c r="AO21" s="1588"/>
      <c r="AP21" s="1588"/>
      <c r="AQ21" s="1588"/>
      <c r="AR21" s="1588"/>
      <c r="AS21" s="1588"/>
      <c r="AT21" s="1588"/>
      <c r="AU21" s="1588"/>
      <c r="AV21" s="1588"/>
      <c r="AW21" s="1588"/>
      <c r="AX21" s="1588"/>
      <c r="AY21" s="1588"/>
      <c r="AZ21" s="345"/>
      <c r="BA21" s="1371"/>
    </row>
    <row r="22" spans="1:53" ht="7.5" customHeight="1">
      <c r="A22" s="1371"/>
      <c r="B22" s="423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346"/>
      <c r="BA22" s="1371"/>
    </row>
    <row r="23" spans="1:53" ht="12.75">
      <c r="A23" s="1371"/>
      <c r="B23" s="388"/>
      <c r="BA23" s="1371"/>
    </row>
    <row r="24" spans="1:53" ht="12.75">
      <c r="A24" s="1371"/>
      <c r="B24" s="391" t="s">
        <v>425</v>
      </c>
      <c r="BA24" s="1371"/>
    </row>
    <row r="25" spans="1:53" ht="6.75" customHeight="1">
      <c r="A25" s="1371"/>
      <c r="B25" s="390"/>
      <c r="BA25" s="1371"/>
    </row>
    <row r="26" spans="1:64" s="408" customFormat="1" ht="12" customHeight="1">
      <c r="A26" s="1371"/>
      <c r="B26" s="414" t="s">
        <v>426</v>
      </c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6"/>
      <c r="X26" s="417"/>
      <c r="Y26" s="418" t="s">
        <v>435</v>
      </c>
      <c r="Z26" s="415"/>
      <c r="AA26" s="415"/>
      <c r="AB26" s="415"/>
      <c r="AC26" s="415"/>
      <c r="AD26" s="416"/>
      <c r="AE26" s="417"/>
      <c r="AF26" s="418" t="s">
        <v>436</v>
      </c>
      <c r="AG26" s="415"/>
      <c r="AH26" s="416"/>
      <c r="AI26" s="417"/>
      <c r="AJ26" s="415"/>
      <c r="AK26" s="418" t="s">
        <v>437</v>
      </c>
      <c r="AL26" s="415"/>
      <c r="AM26" s="415"/>
      <c r="AN26" s="415"/>
      <c r="AO26" s="415"/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6"/>
      <c r="BA26" s="1371"/>
      <c r="BC26" s="799"/>
      <c r="BI26" s="183"/>
      <c r="BJ26" s="183"/>
      <c r="BK26" s="183"/>
      <c r="BL26" s="183"/>
    </row>
    <row r="27" spans="1:64" s="409" customFormat="1" ht="12.75">
      <c r="A27" s="1371"/>
      <c r="B27" s="1574"/>
      <c r="C27" s="1575"/>
      <c r="D27" s="1575"/>
      <c r="E27" s="1575"/>
      <c r="F27" s="1575"/>
      <c r="G27" s="1575"/>
      <c r="H27" s="1575"/>
      <c r="I27" s="1575"/>
      <c r="J27" s="1575"/>
      <c r="K27" s="1575"/>
      <c r="L27" s="1575"/>
      <c r="M27" s="1575"/>
      <c r="N27" s="1575"/>
      <c r="O27" s="1575"/>
      <c r="P27" s="1575"/>
      <c r="Q27" s="1575"/>
      <c r="R27" s="1575"/>
      <c r="S27" s="1575"/>
      <c r="T27" s="1575"/>
      <c r="U27" s="1575"/>
      <c r="V27" s="1575"/>
      <c r="W27" s="1576"/>
      <c r="X27" s="457"/>
      <c r="Y27" s="436"/>
      <c r="Z27" s="436"/>
      <c r="AA27" s="436"/>
      <c r="AB27" s="436"/>
      <c r="AC27" s="436"/>
      <c r="AD27" s="437"/>
      <c r="AZ27" s="425"/>
      <c r="BA27" s="1371"/>
      <c r="BC27" s="800"/>
      <c r="BI27" s="453"/>
      <c r="BJ27" s="453"/>
      <c r="BK27" s="453"/>
      <c r="BL27" s="453"/>
    </row>
    <row r="28" spans="1:64" s="409" customFormat="1" ht="12.75" customHeight="1">
      <c r="A28" s="1371"/>
      <c r="B28" s="1577"/>
      <c r="C28" s="1578"/>
      <c r="D28" s="1578"/>
      <c r="E28" s="1578"/>
      <c r="F28" s="1578"/>
      <c r="G28" s="1578"/>
      <c r="H28" s="1578"/>
      <c r="I28" s="1578"/>
      <c r="J28" s="1578"/>
      <c r="K28" s="1578"/>
      <c r="L28" s="1578"/>
      <c r="M28" s="1578"/>
      <c r="N28" s="1578"/>
      <c r="O28" s="1578"/>
      <c r="P28" s="1578"/>
      <c r="Q28" s="1578"/>
      <c r="R28" s="1578"/>
      <c r="S28" s="1578"/>
      <c r="T28" s="1578"/>
      <c r="U28" s="1578"/>
      <c r="V28" s="1578"/>
      <c r="W28" s="1579"/>
      <c r="X28" s="1583"/>
      <c r="Y28" s="1584"/>
      <c r="Z28" s="1584"/>
      <c r="AA28" s="1584"/>
      <c r="AB28" s="1584"/>
      <c r="AC28" s="1584"/>
      <c r="AD28" s="1585"/>
      <c r="AF28" s="1589" t="s">
        <v>292</v>
      </c>
      <c r="AG28" s="1589"/>
      <c r="AH28" s="1589"/>
      <c r="AI28" s="1589"/>
      <c r="AJ28" s="428" t="s">
        <v>427</v>
      </c>
      <c r="AK28" s="428"/>
      <c r="AL28" s="428"/>
      <c r="AM28" s="428"/>
      <c r="AN28" s="428"/>
      <c r="AO28" s="428"/>
      <c r="AP28" s="428"/>
      <c r="AQ28" s="483" t="s">
        <v>834</v>
      </c>
      <c r="AR28" s="483"/>
      <c r="AS28" s="483"/>
      <c r="AT28" s="483" t="s">
        <v>438</v>
      </c>
      <c r="AU28" s="483"/>
      <c r="AV28" s="483"/>
      <c r="AW28" s="483"/>
      <c r="AX28" s="483"/>
      <c r="AY28" s="483"/>
      <c r="AZ28" s="485"/>
      <c r="BA28" s="1371"/>
      <c r="BC28" s="800"/>
      <c r="BI28" s="453"/>
      <c r="BJ28" s="453"/>
      <c r="BK28" s="453"/>
      <c r="BL28" s="453"/>
    </row>
    <row r="29" spans="1:64" s="409" customFormat="1" ht="12.75">
      <c r="A29" s="1371"/>
      <c r="B29" s="1577"/>
      <c r="C29" s="1578"/>
      <c r="D29" s="1578"/>
      <c r="E29" s="1578"/>
      <c r="F29" s="1578"/>
      <c r="G29" s="1578"/>
      <c r="H29" s="1578"/>
      <c r="I29" s="1578"/>
      <c r="J29" s="1578"/>
      <c r="K29" s="1578"/>
      <c r="L29" s="1578"/>
      <c r="M29" s="1578"/>
      <c r="N29" s="1578"/>
      <c r="O29" s="1578"/>
      <c r="P29" s="1578"/>
      <c r="Q29" s="1578"/>
      <c r="R29" s="1578"/>
      <c r="S29" s="1578"/>
      <c r="T29" s="1578"/>
      <c r="U29" s="1578"/>
      <c r="V29" s="1578"/>
      <c r="W29" s="1579"/>
      <c r="X29" s="1583"/>
      <c r="Y29" s="1584"/>
      <c r="Z29" s="1584"/>
      <c r="AA29" s="1584"/>
      <c r="AB29" s="1584"/>
      <c r="AC29" s="1584"/>
      <c r="AD29" s="1585"/>
      <c r="AF29" s="1589" t="s">
        <v>292</v>
      </c>
      <c r="AG29" s="1589"/>
      <c r="AH29" s="1589"/>
      <c r="AI29" s="1589"/>
      <c r="AJ29" s="428" t="s">
        <v>428</v>
      </c>
      <c r="AK29" s="428"/>
      <c r="AL29" s="428"/>
      <c r="AM29" s="428"/>
      <c r="AN29" s="428"/>
      <c r="AO29" s="428"/>
      <c r="AP29" s="428"/>
      <c r="AQ29" s="428"/>
      <c r="AR29" s="428"/>
      <c r="AS29" s="428"/>
      <c r="AT29" s="484" t="s">
        <v>439</v>
      </c>
      <c r="AU29" s="483"/>
      <c r="AV29" s="483"/>
      <c r="AW29" s="483"/>
      <c r="AX29" s="483"/>
      <c r="AY29" s="483"/>
      <c r="AZ29" s="485"/>
      <c r="BA29" s="1371"/>
      <c r="BC29" s="800"/>
      <c r="BI29" s="453"/>
      <c r="BJ29" s="453"/>
      <c r="BK29" s="453"/>
      <c r="BL29" s="453"/>
    </row>
    <row r="30" spans="1:64" s="409" customFormat="1" ht="12.75">
      <c r="A30" s="1371"/>
      <c r="B30" s="1577"/>
      <c r="C30" s="1578"/>
      <c r="D30" s="1578"/>
      <c r="E30" s="1578"/>
      <c r="F30" s="1578"/>
      <c r="G30" s="1578"/>
      <c r="H30" s="1578"/>
      <c r="I30" s="1578"/>
      <c r="J30" s="1578"/>
      <c r="K30" s="1578"/>
      <c r="L30" s="1578"/>
      <c r="M30" s="1578"/>
      <c r="N30" s="1578"/>
      <c r="O30" s="1578"/>
      <c r="P30" s="1578"/>
      <c r="Q30" s="1578"/>
      <c r="R30" s="1578"/>
      <c r="S30" s="1578"/>
      <c r="T30" s="1578"/>
      <c r="U30" s="1578"/>
      <c r="V30" s="1578"/>
      <c r="W30" s="1579"/>
      <c r="X30" s="1583"/>
      <c r="Y30" s="1584"/>
      <c r="Z30" s="1584"/>
      <c r="AA30" s="1584"/>
      <c r="AB30" s="1584"/>
      <c r="AC30" s="1584"/>
      <c r="AD30" s="1585"/>
      <c r="AF30" s="1589" t="s">
        <v>292</v>
      </c>
      <c r="AG30" s="1589"/>
      <c r="AH30" s="1589"/>
      <c r="AI30" s="1589"/>
      <c r="AJ30" s="428" t="s">
        <v>442</v>
      </c>
      <c r="AK30" s="428"/>
      <c r="AL30" s="428"/>
      <c r="AM30" s="428"/>
      <c r="AN30" s="428"/>
      <c r="AO30" s="428"/>
      <c r="AP30" s="428"/>
      <c r="AQ30" s="428"/>
      <c r="AR30" s="428"/>
      <c r="AS30" s="428"/>
      <c r="AT30" s="484" t="s">
        <v>439</v>
      </c>
      <c r="AU30" s="483"/>
      <c r="AV30" s="483"/>
      <c r="AW30" s="483"/>
      <c r="AX30" s="483"/>
      <c r="AY30" s="483"/>
      <c r="AZ30" s="485"/>
      <c r="BA30" s="1371"/>
      <c r="BC30" s="800"/>
      <c r="BI30" s="453"/>
      <c r="BJ30" s="453"/>
      <c r="BK30" s="453"/>
      <c r="BL30" s="453"/>
    </row>
    <row r="31" spans="1:64" s="409" customFormat="1" ht="12.75">
      <c r="A31" s="1371"/>
      <c r="B31" s="1580"/>
      <c r="C31" s="1581"/>
      <c r="D31" s="1581"/>
      <c r="E31" s="1581"/>
      <c r="F31" s="1581"/>
      <c r="G31" s="1581"/>
      <c r="H31" s="1581"/>
      <c r="I31" s="1581"/>
      <c r="J31" s="1581"/>
      <c r="K31" s="1581"/>
      <c r="L31" s="1581"/>
      <c r="M31" s="1581"/>
      <c r="N31" s="1581"/>
      <c r="O31" s="1581"/>
      <c r="P31" s="1581"/>
      <c r="Q31" s="1581"/>
      <c r="R31" s="1581"/>
      <c r="S31" s="1581"/>
      <c r="T31" s="1581"/>
      <c r="U31" s="1581"/>
      <c r="V31" s="1581"/>
      <c r="W31" s="1582"/>
      <c r="X31" s="1571"/>
      <c r="Y31" s="1572"/>
      <c r="Z31" s="1572"/>
      <c r="AA31" s="1572"/>
      <c r="AB31" s="1572"/>
      <c r="AC31" s="1572"/>
      <c r="AD31" s="1573"/>
      <c r="AE31" s="426"/>
      <c r="AF31" s="1570" t="s">
        <v>292</v>
      </c>
      <c r="AG31" s="1570"/>
      <c r="AH31" s="1570"/>
      <c r="AI31" s="1570"/>
      <c r="AJ31" s="429" t="s">
        <v>440</v>
      </c>
      <c r="AK31" s="430"/>
      <c r="AL31" s="430"/>
      <c r="AM31" s="489"/>
      <c r="AN31" s="489"/>
      <c r="AO31" s="489"/>
      <c r="AP31" s="489"/>
      <c r="AQ31" s="489"/>
      <c r="AR31" s="489"/>
      <c r="AS31" s="430"/>
      <c r="AT31" s="488" t="s">
        <v>441</v>
      </c>
      <c r="AU31" s="486"/>
      <c r="AV31" s="486"/>
      <c r="AW31" s="486"/>
      <c r="AX31" s="486"/>
      <c r="AY31" s="486"/>
      <c r="AZ31" s="487"/>
      <c r="BA31" s="1371"/>
      <c r="BC31" s="800"/>
      <c r="BI31" s="453"/>
      <c r="BJ31" s="453"/>
      <c r="BK31" s="453"/>
      <c r="BL31" s="453"/>
    </row>
    <row r="32" spans="1:64" s="409" customFormat="1" ht="13.5" thickBot="1">
      <c r="A32" s="1371"/>
      <c r="B32" s="403"/>
      <c r="BA32" s="1371"/>
      <c r="BC32" s="800"/>
      <c r="BI32" s="453"/>
      <c r="BJ32" s="453"/>
      <c r="BK32" s="453"/>
      <c r="BL32" s="453"/>
    </row>
    <row r="33" spans="1:64" s="408" customFormat="1" ht="13.5" thickBot="1">
      <c r="A33" s="1371"/>
      <c r="B33" s="392" t="s">
        <v>429</v>
      </c>
      <c r="BA33" s="1371"/>
      <c r="BC33" s="799"/>
      <c r="BI33" s="183"/>
      <c r="BJ33" s="1548" t="s">
        <v>77</v>
      </c>
      <c r="BK33" s="1549"/>
      <c r="BL33" s="183"/>
    </row>
    <row r="34" spans="1:64" s="408" customFormat="1" ht="3.75" customHeight="1">
      <c r="A34" s="1371"/>
      <c r="B34" s="393"/>
      <c r="BA34" s="1371"/>
      <c r="BC34" s="799"/>
      <c r="BD34" s="5"/>
      <c r="BE34" s="5"/>
      <c r="BF34" s="9"/>
      <c r="BG34" s="39"/>
      <c r="BH34" s="46"/>
      <c r="BI34" s="789"/>
      <c r="BJ34" s="533"/>
      <c r="BK34" s="533"/>
      <c r="BL34" s="790"/>
    </row>
    <row r="35" spans="1:64" s="409" customFormat="1" ht="12.75">
      <c r="A35" s="1371"/>
      <c r="B35" s="432" t="s">
        <v>430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1371"/>
      <c r="BC35" s="800"/>
      <c r="BD35" s="5"/>
      <c r="BE35" s="5"/>
      <c r="BF35" s="9"/>
      <c r="BG35" s="39"/>
      <c r="BH35" s="46"/>
      <c r="BI35" s="791"/>
      <c r="BJ35" s="237" t="s">
        <v>75</v>
      </c>
      <c r="BK35" s="52" t="s">
        <v>76</v>
      </c>
      <c r="BL35" s="323" t="s">
        <v>76</v>
      </c>
    </row>
    <row r="36" spans="1:64" s="433" customFormat="1" ht="17.25" customHeight="1">
      <c r="A36" s="1371"/>
      <c r="B36" s="1553" t="s">
        <v>431</v>
      </c>
      <c r="C36" s="1554"/>
      <c r="D36" s="1554"/>
      <c r="E36" s="461"/>
      <c r="F36" s="1564"/>
      <c r="G36" s="1555"/>
      <c r="H36" s="1555"/>
      <c r="I36" s="1555"/>
      <c r="J36" s="454"/>
      <c r="K36" s="454" t="s">
        <v>443</v>
      </c>
      <c r="L36" s="454"/>
      <c r="M36" s="454"/>
      <c r="N36" s="454"/>
      <c r="O36" s="454"/>
      <c r="P36" s="454"/>
      <c r="Q36" s="454"/>
      <c r="R36" s="454"/>
      <c r="S36" s="1555">
        <v>0</v>
      </c>
      <c r="T36" s="1555"/>
      <c r="U36" s="1555"/>
      <c r="V36" s="1555"/>
      <c r="W36" s="1555"/>
      <c r="X36" s="1555"/>
      <c r="Y36" s="1555"/>
      <c r="Z36" s="454" t="s">
        <v>444</v>
      </c>
      <c r="AA36" s="454"/>
      <c r="AB36" s="454"/>
      <c r="AC36" s="454"/>
      <c r="AD36" s="454"/>
      <c r="AE36" s="454"/>
      <c r="AF36" s="1555">
        <v>0</v>
      </c>
      <c r="AG36" s="1555"/>
      <c r="AH36" s="1555"/>
      <c r="AI36" s="1555"/>
      <c r="AJ36" s="1555"/>
      <c r="AK36" s="1555"/>
      <c r="AL36" s="454" t="s">
        <v>464</v>
      </c>
      <c r="AM36" s="454"/>
      <c r="AN36" s="454"/>
      <c r="AO36" s="454"/>
      <c r="AP36" s="1586">
        <f aca="true" t="shared" si="0" ref="AP36:AP42">+AF36*S36</f>
        <v>0</v>
      </c>
      <c r="AQ36" s="1586"/>
      <c r="AR36" s="1586"/>
      <c r="AS36" s="1586"/>
      <c r="AT36" s="1586"/>
      <c r="AU36" s="1586"/>
      <c r="AV36" s="1586"/>
      <c r="AW36" s="1586"/>
      <c r="AX36" s="1586"/>
      <c r="AY36" s="1586"/>
      <c r="AZ36" s="1587"/>
      <c r="BA36" s="1371"/>
      <c r="BC36" s="801"/>
      <c r="BE36" s="35"/>
      <c r="BF36" s="9"/>
      <c r="BG36" s="50"/>
      <c r="BH36" s="46"/>
      <c r="BI36" s="791"/>
      <c r="BJ36" s="237"/>
      <c r="BK36" s="52"/>
      <c r="BL36" s="792">
        <v>0.085</v>
      </c>
    </row>
    <row r="37" spans="1:64" s="409" customFormat="1" ht="12.75">
      <c r="A37" s="1371"/>
      <c r="B37" s="1562" t="s">
        <v>431</v>
      </c>
      <c r="C37" s="1563"/>
      <c r="D37" s="1563"/>
      <c r="E37" s="462"/>
      <c r="F37" s="1564"/>
      <c r="G37" s="1555"/>
      <c r="H37" s="1555"/>
      <c r="I37" s="1555"/>
      <c r="J37" s="406"/>
      <c r="K37" s="406" t="s">
        <v>445</v>
      </c>
      <c r="L37" s="406"/>
      <c r="M37" s="406" t="s">
        <v>462</v>
      </c>
      <c r="N37" s="406"/>
      <c r="O37" s="406"/>
      <c r="P37" s="406"/>
      <c r="Q37" s="406"/>
      <c r="R37" s="406"/>
      <c r="S37" s="1555">
        <v>0</v>
      </c>
      <c r="T37" s="1555"/>
      <c r="U37" s="1555"/>
      <c r="V37" s="1555"/>
      <c r="W37" s="1555"/>
      <c r="X37" s="1555"/>
      <c r="Y37" s="1555"/>
      <c r="Z37" s="406" t="s">
        <v>444</v>
      </c>
      <c r="AA37" s="406"/>
      <c r="AB37" s="406"/>
      <c r="AC37" s="406"/>
      <c r="AD37" s="406"/>
      <c r="AE37" s="406"/>
      <c r="AF37" s="1555">
        <v>0</v>
      </c>
      <c r="AG37" s="1555"/>
      <c r="AH37" s="1555"/>
      <c r="AI37" s="1555"/>
      <c r="AJ37" s="1555"/>
      <c r="AK37" s="1555"/>
      <c r="AL37" s="463" t="s">
        <v>464</v>
      </c>
      <c r="AM37" s="406"/>
      <c r="AN37" s="406"/>
      <c r="AO37" s="406"/>
      <c r="AP37" s="1567">
        <f t="shared" si="0"/>
        <v>0</v>
      </c>
      <c r="AQ37" s="1567"/>
      <c r="AR37" s="1567"/>
      <c r="AS37" s="1567"/>
      <c r="AT37" s="1567"/>
      <c r="AU37" s="1567"/>
      <c r="AV37" s="1567"/>
      <c r="AW37" s="1567"/>
      <c r="AX37" s="1567"/>
      <c r="AY37" s="1567"/>
      <c r="AZ37" s="1568"/>
      <c r="BA37" s="1371"/>
      <c r="BC37" s="800"/>
      <c r="BE37" s="35"/>
      <c r="BG37" s="50"/>
      <c r="BH37" s="46"/>
      <c r="BI37" s="791">
        <v>8.5</v>
      </c>
      <c r="BJ37" s="237">
        <f>'PLANILLA DE CALCULOS '!U49</f>
        <v>1100000</v>
      </c>
      <c r="BK37" s="52">
        <f>BJ37</f>
        <v>1100000</v>
      </c>
      <c r="BL37" s="323">
        <f>BJ37*0.085</f>
        <v>93500</v>
      </c>
    </row>
    <row r="38" spans="1:64" s="409" customFormat="1" ht="12.75">
      <c r="A38" s="1371"/>
      <c r="B38" s="1553" t="s">
        <v>431</v>
      </c>
      <c r="C38" s="1554"/>
      <c r="D38" s="1554"/>
      <c r="E38" s="461"/>
      <c r="F38" s="1555"/>
      <c r="G38" s="1555"/>
      <c r="H38" s="1555"/>
      <c r="I38" s="1555"/>
      <c r="J38" s="454"/>
      <c r="K38" s="454" t="s">
        <v>463</v>
      </c>
      <c r="L38" s="454"/>
      <c r="M38" s="454"/>
      <c r="N38" s="454"/>
      <c r="O38" s="454"/>
      <c r="P38" s="454"/>
      <c r="Q38" s="454"/>
      <c r="R38" s="454"/>
      <c r="S38" s="1555">
        <v>0</v>
      </c>
      <c r="T38" s="1555"/>
      <c r="U38" s="1555"/>
      <c r="V38" s="1555"/>
      <c r="W38" s="1555"/>
      <c r="X38" s="1555"/>
      <c r="Y38" s="1555"/>
      <c r="Z38" s="454" t="s">
        <v>444</v>
      </c>
      <c r="AA38" s="454"/>
      <c r="AB38" s="454"/>
      <c r="AC38" s="454"/>
      <c r="AD38" s="454"/>
      <c r="AE38" s="454"/>
      <c r="AF38" s="1555">
        <v>0</v>
      </c>
      <c r="AG38" s="1555"/>
      <c r="AH38" s="1555"/>
      <c r="AI38" s="1555"/>
      <c r="AJ38" s="1555"/>
      <c r="AK38" s="1555"/>
      <c r="AL38" s="463" t="s">
        <v>464</v>
      </c>
      <c r="AM38" s="463"/>
      <c r="AN38" s="463"/>
      <c r="AO38" s="463"/>
      <c r="AP38" s="1551">
        <f t="shared" si="0"/>
        <v>0</v>
      </c>
      <c r="AQ38" s="1551"/>
      <c r="AR38" s="1551"/>
      <c r="AS38" s="1551"/>
      <c r="AT38" s="1551"/>
      <c r="AU38" s="1551"/>
      <c r="AV38" s="1551"/>
      <c r="AW38" s="1551"/>
      <c r="AX38" s="1551"/>
      <c r="AY38" s="1551"/>
      <c r="AZ38" s="1552"/>
      <c r="BA38" s="1371"/>
      <c r="BC38" s="800"/>
      <c r="BE38" s="35"/>
      <c r="BG38" s="39"/>
      <c r="BH38" s="3"/>
      <c r="BI38" s="793">
        <v>8</v>
      </c>
      <c r="BJ38" s="237">
        <f>'PLANILLA DE CALCULOS '!U50</f>
        <v>4400000</v>
      </c>
      <c r="BK38" s="52">
        <f>BK37+BJ38</f>
        <v>5500000</v>
      </c>
      <c r="BL38" s="323">
        <f>BJ37*0.085+BJ38*0.08</f>
        <v>445500</v>
      </c>
    </row>
    <row r="39" spans="1:64" s="409" customFormat="1" ht="13.5" thickBot="1">
      <c r="A39" s="1371"/>
      <c r="B39" s="1553" t="s">
        <v>431</v>
      </c>
      <c r="C39" s="1554"/>
      <c r="D39" s="1554"/>
      <c r="E39" s="462"/>
      <c r="F39" s="1564"/>
      <c r="G39" s="1555"/>
      <c r="H39" s="1555"/>
      <c r="I39" s="1555"/>
      <c r="J39" s="406"/>
      <c r="K39" s="1556" t="s">
        <v>593</v>
      </c>
      <c r="L39" s="1556"/>
      <c r="M39" s="1556"/>
      <c r="N39" s="1556"/>
      <c r="O39" s="1556"/>
      <c r="P39" s="1556"/>
      <c r="Q39" s="1556"/>
      <c r="R39" s="1556"/>
      <c r="S39" s="1555">
        <v>0</v>
      </c>
      <c r="T39" s="1555"/>
      <c r="U39" s="1555"/>
      <c r="V39" s="1555"/>
      <c r="W39" s="1555"/>
      <c r="X39" s="1555"/>
      <c r="Y39" s="1555"/>
      <c r="Z39" s="1557" t="s">
        <v>444</v>
      </c>
      <c r="AA39" s="1557"/>
      <c r="AB39" s="1557"/>
      <c r="AC39" s="1557"/>
      <c r="AD39" s="1557"/>
      <c r="AE39" s="1557"/>
      <c r="AF39" s="1555">
        <v>0</v>
      </c>
      <c r="AG39" s="1555"/>
      <c r="AH39" s="1555"/>
      <c r="AI39" s="1555"/>
      <c r="AJ39" s="1555"/>
      <c r="AK39" s="1555"/>
      <c r="AL39" s="1550" t="s">
        <v>464</v>
      </c>
      <c r="AM39" s="1550"/>
      <c r="AN39" s="1550"/>
      <c r="AO39" s="406"/>
      <c r="AP39" s="1551">
        <f t="shared" si="0"/>
        <v>0</v>
      </c>
      <c r="AQ39" s="1551"/>
      <c r="AR39" s="1551"/>
      <c r="AS39" s="1551"/>
      <c r="AT39" s="1551"/>
      <c r="AU39" s="1551"/>
      <c r="AV39" s="1551"/>
      <c r="AW39" s="1551"/>
      <c r="AX39" s="1551"/>
      <c r="AY39" s="1551"/>
      <c r="AZ39" s="1552"/>
      <c r="BA39" s="1371"/>
      <c r="BC39" s="800"/>
      <c r="BE39" s="35"/>
      <c r="BG39" s="39"/>
      <c r="BH39" s="3"/>
      <c r="BI39" s="791">
        <v>7.5</v>
      </c>
      <c r="BJ39" s="237">
        <f>'PLANILLA DE CALCULOS '!U51</f>
        <v>5500000</v>
      </c>
      <c r="BK39" s="52">
        <f>BK38+BJ39</f>
        <v>11000000</v>
      </c>
      <c r="BL39" s="323">
        <f>BJ37*0.085+BJ38*0.08+BJ39*0.075</f>
        <v>858000</v>
      </c>
    </row>
    <row r="40" spans="1:64" s="409" customFormat="1" ht="13.5" thickBot="1">
      <c r="A40" s="1371"/>
      <c r="B40" s="1553" t="s">
        <v>431</v>
      </c>
      <c r="C40" s="1554"/>
      <c r="D40" s="1554"/>
      <c r="E40" s="462"/>
      <c r="F40" s="1555"/>
      <c r="G40" s="1555"/>
      <c r="H40" s="1555"/>
      <c r="I40" s="1555"/>
      <c r="J40" s="406"/>
      <c r="K40" s="1556" t="s">
        <v>593</v>
      </c>
      <c r="L40" s="1556"/>
      <c r="M40" s="1556"/>
      <c r="N40" s="1556"/>
      <c r="O40" s="1556"/>
      <c r="P40" s="1556"/>
      <c r="Q40" s="1556"/>
      <c r="R40" s="1556"/>
      <c r="S40" s="1555">
        <v>0</v>
      </c>
      <c r="T40" s="1555"/>
      <c r="U40" s="1555"/>
      <c r="V40" s="1555"/>
      <c r="W40" s="1555"/>
      <c r="X40" s="1555"/>
      <c r="Y40" s="1555"/>
      <c r="Z40" s="1557" t="s">
        <v>444</v>
      </c>
      <c r="AA40" s="1557"/>
      <c r="AB40" s="1557"/>
      <c r="AC40" s="1557"/>
      <c r="AD40" s="1557"/>
      <c r="AE40" s="1557"/>
      <c r="AF40" s="1555">
        <v>0</v>
      </c>
      <c r="AG40" s="1555"/>
      <c r="AH40" s="1555"/>
      <c r="AI40" s="1555"/>
      <c r="AJ40" s="1555"/>
      <c r="AK40" s="1555"/>
      <c r="AL40" s="1550" t="s">
        <v>464</v>
      </c>
      <c r="AM40" s="1550"/>
      <c r="AN40" s="1550"/>
      <c r="AO40" s="406"/>
      <c r="AP40" s="1551">
        <f t="shared" si="0"/>
        <v>0</v>
      </c>
      <c r="AQ40" s="1551"/>
      <c r="AR40" s="1551"/>
      <c r="AS40" s="1551"/>
      <c r="AT40" s="1551"/>
      <c r="AU40" s="1551"/>
      <c r="AV40" s="1551"/>
      <c r="AW40" s="1551"/>
      <c r="AX40" s="1551"/>
      <c r="AY40" s="1551"/>
      <c r="AZ40" s="1552"/>
      <c r="BA40" s="1371"/>
      <c r="BC40" s="800"/>
      <c r="BE40" s="35"/>
      <c r="BG40" s="39"/>
      <c r="BH40" s="3"/>
      <c r="BI40" s="791">
        <v>7</v>
      </c>
      <c r="BJ40" s="237">
        <f>'PLANILLA DE CALCULOS '!U52</f>
        <v>22000000</v>
      </c>
      <c r="BK40" s="52">
        <f>BK39+BJ40</f>
        <v>33000000</v>
      </c>
      <c r="BL40" s="323">
        <f>BJ37*0.085+BJ38*0.08+BJ39*0.075+BJ40*0.07</f>
        <v>2398000</v>
      </c>
    </row>
    <row r="41" spans="1:64" s="409" customFormat="1" ht="13.5" thickBot="1">
      <c r="A41" s="1371"/>
      <c r="B41" s="1553" t="s">
        <v>431</v>
      </c>
      <c r="C41" s="1554"/>
      <c r="D41" s="1554"/>
      <c r="E41" s="462"/>
      <c r="F41" s="1555"/>
      <c r="G41" s="1555"/>
      <c r="H41" s="1555"/>
      <c r="I41" s="1555"/>
      <c r="J41" s="406"/>
      <c r="K41" s="1556" t="s">
        <v>593</v>
      </c>
      <c r="L41" s="1556"/>
      <c r="M41" s="1556"/>
      <c r="N41" s="1556"/>
      <c r="O41" s="1556"/>
      <c r="P41" s="1556"/>
      <c r="Q41" s="1556"/>
      <c r="R41" s="1556"/>
      <c r="S41" s="1555">
        <v>0</v>
      </c>
      <c r="T41" s="1555"/>
      <c r="U41" s="1555"/>
      <c r="V41" s="1555"/>
      <c r="W41" s="1555"/>
      <c r="X41" s="1555"/>
      <c r="Y41" s="1555"/>
      <c r="Z41" s="1557" t="s">
        <v>444</v>
      </c>
      <c r="AA41" s="1557"/>
      <c r="AB41" s="1557"/>
      <c r="AC41" s="1557"/>
      <c r="AD41" s="1557"/>
      <c r="AE41" s="1557"/>
      <c r="AF41" s="1555">
        <v>0</v>
      </c>
      <c r="AG41" s="1555"/>
      <c r="AH41" s="1555"/>
      <c r="AI41" s="1555"/>
      <c r="AJ41" s="1555"/>
      <c r="AK41" s="1555"/>
      <c r="AL41" s="1550" t="s">
        <v>464</v>
      </c>
      <c r="AM41" s="1550"/>
      <c r="AN41" s="1550"/>
      <c r="AO41" s="406"/>
      <c r="AP41" s="1551">
        <f t="shared" si="0"/>
        <v>0</v>
      </c>
      <c r="AQ41" s="1551"/>
      <c r="AR41" s="1551"/>
      <c r="AS41" s="1551"/>
      <c r="AT41" s="1551"/>
      <c r="AU41" s="1551"/>
      <c r="AV41" s="1551"/>
      <c r="AW41" s="1551"/>
      <c r="AX41" s="1551"/>
      <c r="AY41" s="1551"/>
      <c r="AZ41" s="1552"/>
      <c r="BA41" s="1371"/>
      <c r="BC41" s="800"/>
      <c r="BE41" s="35"/>
      <c r="BG41" s="39"/>
      <c r="BH41" s="3"/>
      <c r="BI41" s="791">
        <v>6.5</v>
      </c>
      <c r="BJ41" s="237">
        <f>'PLANILLA DE CALCULOS '!U53</f>
        <v>77000000</v>
      </c>
      <c r="BK41" s="52">
        <f>BK40+BJ41</f>
        <v>110000000</v>
      </c>
      <c r="BL41" s="323">
        <f>BJ37*0.085+BJ38*0.08+BJ39*0.075+BJ40*0.07+BJ41*0.065</f>
        <v>7403000</v>
      </c>
    </row>
    <row r="42" spans="1:64" s="409" customFormat="1" ht="13.5" thickBot="1">
      <c r="A42" s="1371"/>
      <c r="B42" s="1553" t="s">
        <v>431</v>
      </c>
      <c r="C42" s="1554"/>
      <c r="D42" s="1554"/>
      <c r="E42" s="462"/>
      <c r="F42" s="1555"/>
      <c r="G42" s="1555"/>
      <c r="H42" s="1555"/>
      <c r="I42" s="1555"/>
      <c r="J42" s="406"/>
      <c r="K42" s="1556" t="s">
        <v>593</v>
      </c>
      <c r="L42" s="1556"/>
      <c r="M42" s="1556"/>
      <c r="N42" s="1556"/>
      <c r="O42" s="1556"/>
      <c r="P42" s="1556"/>
      <c r="Q42" s="1556"/>
      <c r="R42" s="1556"/>
      <c r="S42" s="1555">
        <v>0</v>
      </c>
      <c r="T42" s="1555"/>
      <c r="U42" s="1555"/>
      <c r="V42" s="1555"/>
      <c r="W42" s="1555"/>
      <c r="X42" s="1555"/>
      <c r="Y42" s="1555"/>
      <c r="Z42" s="1557" t="s">
        <v>444</v>
      </c>
      <c r="AA42" s="1557"/>
      <c r="AB42" s="1557"/>
      <c r="AC42" s="1557"/>
      <c r="AD42" s="1557"/>
      <c r="AE42" s="1557"/>
      <c r="AF42" s="1555">
        <v>0</v>
      </c>
      <c r="AG42" s="1555"/>
      <c r="AH42" s="1555"/>
      <c r="AI42" s="1555"/>
      <c r="AJ42" s="1555"/>
      <c r="AK42" s="1555"/>
      <c r="AL42" s="1550" t="s">
        <v>464</v>
      </c>
      <c r="AM42" s="1550"/>
      <c r="AN42" s="1550"/>
      <c r="AO42" s="406"/>
      <c r="AP42" s="1551">
        <f t="shared" si="0"/>
        <v>0</v>
      </c>
      <c r="AQ42" s="1551"/>
      <c r="AR42" s="1551"/>
      <c r="AS42" s="1551"/>
      <c r="AT42" s="1551"/>
      <c r="AU42" s="1551"/>
      <c r="AV42" s="1551"/>
      <c r="AW42" s="1551"/>
      <c r="AX42" s="1551"/>
      <c r="AY42" s="1551"/>
      <c r="AZ42" s="1552"/>
      <c r="BA42" s="1371"/>
      <c r="BC42" s="800"/>
      <c r="BE42" s="35"/>
      <c r="BG42" s="39"/>
      <c r="BH42" s="3"/>
      <c r="BI42" s="794">
        <v>6</v>
      </c>
      <c r="BJ42" s="781" t="s">
        <v>490</v>
      </c>
      <c r="BK42" s="795"/>
      <c r="BL42" s="796"/>
    </row>
    <row r="43" spans="1:60" s="409" customFormat="1" ht="19.5" customHeight="1" thickBot="1">
      <c r="A43" s="1371"/>
      <c r="B43" s="395"/>
      <c r="C43" s="395"/>
      <c r="D43" s="395"/>
      <c r="E43" s="395"/>
      <c r="F43" s="395"/>
      <c r="G43" s="1558"/>
      <c r="H43" s="1558"/>
      <c r="I43" s="396"/>
      <c r="AI43" s="1560" t="s">
        <v>465</v>
      </c>
      <c r="AJ43" s="1561"/>
      <c r="AK43" s="1561"/>
      <c r="AL43" s="1561"/>
      <c r="AM43" s="1561"/>
      <c r="AN43" s="1561"/>
      <c r="AO43" s="1561"/>
      <c r="AP43" s="1619">
        <f>SUM(AP36:AZ42)</f>
        <v>0</v>
      </c>
      <c r="AQ43" s="1619"/>
      <c r="AR43" s="1619"/>
      <c r="AS43" s="1619"/>
      <c r="AT43" s="1619"/>
      <c r="AU43" s="1619"/>
      <c r="AV43" s="1619"/>
      <c r="AW43" s="1619"/>
      <c r="AX43" s="1619"/>
      <c r="AY43" s="1619"/>
      <c r="AZ43" s="1620"/>
      <c r="BA43" s="1371"/>
      <c r="BC43" s="800"/>
      <c r="BD43" s="11" t="s">
        <v>25</v>
      </c>
      <c r="BE43" s="35"/>
      <c r="BG43" s="39"/>
      <c r="BH43" s="54"/>
    </row>
    <row r="44" spans="1:60" s="409" customFormat="1" ht="12.75">
      <c r="A44" s="1371"/>
      <c r="B44" s="397"/>
      <c r="BA44" s="1371"/>
      <c r="BC44" s="800"/>
      <c r="BD44" s="5"/>
      <c r="BE44" s="35"/>
      <c r="BF44" s="12"/>
      <c r="BG44" s="39"/>
      <c r="BH44" s="50"/>
    </row>
    <row r="45" spans="1:60" s="409" customFormat="1" ht="12.75">
      <c r="A45" s="1371"/>
      <c r="B45" s="392" t="s">
        <v>432</v>
      </c>
      <c r="BA45" s="1371"/>
      <c r="BC45" s="800"/>
      <c r="BD45" s="5"/>
      <c r="BE45" s="35"/>
      <c r="BF45" s="12"/>
      <c r="BG45" s="39"/>
      <c r="BH45" s="50"/>
    </row>
    <row r="46" spans="1:64" s="409" customFormat="1" ht="3.75" customHeight="1">
      <c r="A46" s="1371"/>
      <c r="B46" s="398"/>
      <c r="BA46" s="1371"/>
      <c r="BC46" s="800"/>
      <c r="BI46" s="453"/>
      <c r="BJ46" s="453"/>
      <c r="BK46" s="453"/>
      <c r="BL46" s="453"/>
    </row>
    <row r="47" spans="1:55" s="355" customFormat="1" ht="12.75">
      <c r="A47" s="1371"/>
      <c r="B47" s="406" t="s">
        <v>433</v>
      </c>
      <c r="BA47" s="1371"/>
      <c r="BC47" s="802"/>
    </row>
    <row r="48" spans="1:64" s="409" customFormat="1" ht="15" customHeight="1">
      <c r="A48" s="1371"/>
      <c r="B48" s="394"/>
      <c r="M48" s="1559">
        <f>IF('INGRESO DE DATOS'!G71="si",'PLANILLA DE CALCULOS '!J41,'Art.29'!AP43)</f>
        <v>0</v>
      </c>
      <c r="N48" s="1559"/>
      <c r="O48" s="1559"/>
      <c r="P48" s="1559"/>
      <c r="Q48" s="1559"/>
      <c r="R48" s="1559"/>
      <c r="S48" s="1559"/>
      <c r="T48" s="1559"/>
      <c r="U48" s="1559"/>
      <c r="V48" s="1559"/>
      <c r="BA48" s="1371"/>
      <c r="BC48" s="800"/>
      <c r="BI48" s="453"/>
      <c r="BJ48" s="453"/>
      <c r="BK48" s="453"/>
      <c r="BL48" s="453"/>
    </row>
    <row r="49" spans="1:64" s="409" customFormat="1" ht="15.75" customHeight="1">
      <c r="A49" s="1371"/>
      <c r="B49" s="397"/>
      <c r="C49" s="1597">
        <f>IF(C50=8.5,8.5,0)</f>
        <v>0</v>
      </c>
      <c r="D49" s="1598"/>
      <c r="E49" s="1599"/>
      <c r="F49" s="1596" t="s">
        <v>446</v>
      </c>
      <c r="G49" s="1595"/>
      <c r="H49" s="1595"/>
      <c r="I49" s="1595"/>
      <c r="J49" s="1595"/>
      <c r="K49" s="1595"/>
      <c r="L49" s="1595"/>
      <c r="M49" s="1595"/>
      <c r="N49" s="1569">
        <f>IF(M48&lt;=0,0,IF(AND(M48&gt;0,M48&lt;=BJ37),M48,IF(AND(M48&gt;BJ37,M48&lt;=BJ39),BJ37,IF(AND(M48&gt;BJ39,M48&lt;=BK39),BJ39,IF(AND(M48&gt;BK39,M48&lt;=BK40),BK39,IF(AND(M48&gt;BK40,M48&lt;=BK41),BK40,IF(M48&gt;BJ41,BK41)))))))</f>
        <v>0</v>
      </c>
      <c r="O49" s="1569"/>
      <c r="P49" s="1569"/>
      <c r="Q49" s="1569"/>
      <c r="R49" s="1569"/>
      <c r="S49" s="1569"/>
      <c r="T49" s="1569"/>
      <c r="U49" s="1569"/>
      <c r="V49" s="418"/>
      <c r="W49" s="415"/>
      <c r="X49" s="415"/>
      <c r="Y49" s="415"/>
      <c r="Z49" s="415"/>
      <c r="AA49" s="415"/>
      <c r="AB49" s="415"/>
      <c r="AC49" s="415"/>
      <c r="AD49" s="415"/>
      <c r="AE49" s="456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1569">
        <f>IF(AND(M48&gt;0,M48&lt;=BK37),M48*0.085,IF(AND(M48&gt;BK37,M48&lt;=BK38),BL37,IF(AND(M48&gt;BK38,M48&lt;=BK39),BL38,IF(AND(M48&gt;BK39,M48&lt;=BK40),BL39,IF(AND(M48&gt;BK40,M48&lt;=BK41),BL40,IF(AND(M48&gt;BK41),BL41,0))))))</f>
        <v>0</v>
      </c>
      <c r="AQ49" s="1569"/>
      <c r="AR49" s="1569"/>
      <c r="AS49" s="1569"/>
      <c r="AT49" s="1569"/>
      <c r="AU49" s="1569"/>
      <c r="AV49" s="1569"/>
      <c r="AW49" s="1569"/>
      <c r="AX49" s="415"/>
      <c r="AY49" s="415"/>
      <c r="AZ49" s="416"/>
      <c r="BA49" s="1371"/>
      <c r="BC49" s="800"/>
      <c r="BI49" s="453"/>
      <c r="BJ49" s="453"/>
      <c r="BK49" s="453"/>
      <c r="BL49" s="453"/>
    </row>
    <row r="50" spans="1:64" s="409" customFormat="1" ht="15.75" customHeight="1">
      <c r="A50" s="1371"/>
      <c r="B50" s="395"/>
      <c r="C50" s="1592">
        <f>IF(AND(M48&gt;0,M48&lt;=BJ37),8.5,IF(AND(M48&gt;BJ37,M48&lt;=BK38),8,IF(AND(M48&gt;BJ38,M48&lt;=BK39),7.5,IF(AND(M48&gt;BJ39,M48&lt;=BK40),7,IF(AND(M48&gt;BJ40,M48&lt;=BK41),6.5,IF(AND(M48&gt;BK41),6,0))))))</f>
        <v>0</v>
      </c>
      <c r="D50" s="1593"/>
      <c r="E50" s="1594"/>
      <c r="F50" s="1595" t="s">
        <v>434</v>
      </c>
      <c r="G50" s="1595"/>
      <c r="H50" s="1595"/>
      <c r="I50" s="1595"/>
      <c r="J50" s="1595"/>
      <c r="K50" s="1595"/>
      <c r="L50" s="1595"/>
      <c r="M50" s="1595"/>
      <c r="N50" s="1569">
        <f>IF(M48&gt;=0,M48-N49)</f>
        <v>0</v>
      </c>
      <c r="O50" s="1569"/>
      <c r="P50" s="1569"/>
      <c r="Q50" s="1569"/>
      <c r="R50" s="1569"/>
      <c r="S50" s="1569"/>
      <c r="T50" s="1569"/>
      <c r="U50" s="1569"/>
      <c r="V50" s="418"/>
      <c r="W50" s="415"/>
      <c r="X50" s="415"/>
      <c r="Y50" s="415"/>
      <c r="Z50" s="415"/>
      <c r="AA50" s="415"/>
      <c r="AB50" s="415"/>
      <c r="AC50" s="415"/>
      <c r="AD50" s="415"/>
      <c r="AE50" s="456"/>
      <c r="AF50" s="415"/>
      <c r="AG50" s="415"/>
      <c r="AH50" s="415"/>
      <c r="AI50" s="415"/>
      <c r="AJ50" s="415"/>
      <c r="AK50" s="415"/>
      <c r="AL50" s="415"/>
      <c r="AM50" s="415"/>
      <c r="AN50" s="415"/>
      <c r="AO50" s="415"/>
      <c r="AP50" s="1569">
        <f>+(C50/100)*N50</f>
        <v>0</v>
      </c>
      <c r="AQ50" s="1569"/>
      <c r="AR50" s="1569"/>
      <c r="AS50" s="1569"/>
      <c r="AT50" s="1569"/>
      <c r="AU50" s="1569"/>
      <c r="AV50" s="1569"/>
      <c r="AW50" s="1569"/>
      <c r="AX50" s="415"/>
      <c r="AY50" s="415"/>
      <c r="AZ50" s="416"/>
      <c r="BA50" s="1371"/>
      <c r="BC50" s="800"/>
      <c r="BI50" s="453"/>
      <c r="BJ50" s="453"/>
      <c r="BK50" s="453"/>
      <c r="BL50" s="453"/>
    </row>
    <row r="51" spans="1:64" s="409" customFormat="1" ht="13.5" thickBot="1">
      <c r="A51" s="1371"/>
      <c r="B51" s="395"/>
      <c r="C51" s="395"/>
      <c r="D51" s="395"/>
      <c r="E51" s="395"/>
      <c r="F51" s="395"/>
      <c r="G51" s="395"/>
      <c r="H51" s="395"/>
      <c r="AC51" s="457"/>
      <c r="AD51" s="436"/>
      <c r="AE51" s="436"/>
      <c r="AF51" s="458" t="s">
        <v>447</v>
      </c>
      <c r="AG51" s="436"/>
      <c r="AH51" s="436"/>
      <c r="AI51" s="436"/>
      <c r="AJ51" s="436"/>
      <c r="AK51" s="436"/>
      <c r="AL51" s="436"/>
      <c r="AM51" s="436"/>
      <c r="AN51" s="436"/>
      <c r="AO51" s="455" t="s">
        <v>7</v>
      </c>
      <c r="AP51" s="1617">
        <f>+AP49+AP50</f>
        <v>0</v>
      </c>
      <c r="AQ51" s="1617"/>
      <c r="AR51" s="1617"/>
      <c r="AS51" s="1617"/>
      <c r="AT51" s="1617"/>
      <c r="AU51" s="1617"/>
      <c r="AV51" s="1617"/>
      <c r="AW51" s="1617"/>
      <c r="AX51" s="459"/>
      <c r="AY51" s="436"/>
      <c r="AZ51" s="437"/>
      <c r="BA51" s="1371"/>
      <c r="BC51" s="800"/>
      <c r="BI51" s="453"/>
      <c r="BJ51" s="453"/>
      <c r="BK51" s="453"/>
      <c r="BL51" s="453"/>
    </row>
    <row r="52" spans="1:64" s="409" customFormat="1" ht="18" customHeight="1" thickBot="1">
      <c r="A52" s="1371"/>
      <c r="B52" s="395"/>
      <c r="C52" s="395"/>
      <c r="D52" s="395"/>
      <c r="E52" s="395"/>
      <c r="F52" s="399"/>
      <c r="G52" s="395"/>
      <c r="H52" s="395"/>
      <c r="AC52" s="434"/>
      <c r="AD52" s="1618" t="s">
        <v>448</v>
      </c>
      <c r="AE52" s="1618"/>
      <c r="AF52" s="1618"/>
      <c r="AG52" s="1618"/>
      <c r="AH52" s="1618"/>
      <c r="AI52" s="1618"/>
      <c r="AJ52" s="1618"/>
      <c r="AK52" s="1618"/>
      <c r="AL52" s="1618"/>
      <c r="AM52" s="1618"/>
      <c r="AN52" s="1618"/>
      <c r="AO52" s="451" t="s">
        <v>7</v>
      </c>
      <c r="AP52" s="452"/>
      <c r="AQ52" s="1615">
        <f>+AP51/10</f>
        <v>0</v>
      </c>
      <c r="AR52" s="1615"/>
      <c r="AS52" s="1615"/>
      <c r="AT52" s="1615"/>
      <c r="AU52" s="1615"/>
      <c r="AV52" s="1615"/>
      <c r="AW52" s="1615"/>
      <c r="AX52" s="1615"/>
      <c r="AY52" s="1615"/>
      <c r="AZ52" s="1616"/>
      <c r="BA52" s="1371"/>
      <c r="BC52" s="800"/>
      <c r="BI52" s="453"/>
      <c r="BJ52" s="453"/>
      <c r="BK52" s="453"/>
      <c r="BL52" s="453"/>
    </row>
    <row r="53" spans="1:64" s="409" customFormat="1" ht="6.75" customHeight="1" thickBot="1">
      <c r="A53" s="1371"/>
      <c r="B53" s="395"/>
      <c r="C53" s="395"/>
      <c r="D53" s="395"/>
      <c r="E53" s="395"/>
      <c r="F53" s="400"/>
      <c r="G53" s="396"/>
      <c r="H53" s="396"/>
      <c r="BA53" s="1371"/>
      <c r="BC53" s="800"/>
      <c r="BI53" s="453"/>
      <c r="BJ53" s="453"/>
      <c r="BK53" s="453"/>
      <c r="BL53" s="453"/>
    </row>
    <row r="54" spans="1:64" s="409" customFormat="1" ht="12.75" customHeight="1">
      <c r="A54" s="1371"/>
      <c r="B54" s="397"/>
      <c r="C54" s="442" t="s">
        <v>449</v>
      </c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9"/>
      <c r="AG54" s="1600">
        <f>ROUNDUP(AQ52,0)</f>
        <v>0</v>
      </c>
      <c r="AH54" s="1601"/>
      <c r="AI54" s="1601"/>
      <c r="AJ54" s="1601"/>
      <c r="AK54" s="1601"/>
      <c r="AL54" s="1601"/>
      <c r="AM54" s="1601"/>
      <c r="AN54" s="1601"/>
      <c r="AO54" s="1601"/>
      <c r="AP54" s="1601"/>
      <c r="AQ54" s="1601"/>
      <c r="AR54" s="1601"/>
      <c r="AS54" s="1601"/>
      <c r="AT54" s="1601"/>
      <c r="AU54" s="1601"/>
      <c r="AV54" s="1601"/>
      <c r="AW54" s="1601"/>
      <c r="AX54" s="1601"/>
      <c r="AY54" s="1601"/>
      <c r="AZ54" s="1602"/>
      <c r="BA54" s="1371"/>
      <c r="BC54" s="800"/>
      <c r="BI54" s="453"/>
      <c r="BJ54" s="453"/>
      <c r="BK54" s="453"/>
      <c r="BL54" s="453"/>
    </row>
    <row r="55" spans="1:64" s="409" customFormat="1" ht="13.5" customHeight="1" thickBot="1">
      <c r="A55" s="1371"/>
      <c r="B55" s="394"/>
      <c r="C55" s="443" t="s">
        <v>450</v>
      </c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1"/>
      <c r="AG55" s="1603"/>
      <c r="AH55" s="1604"/>
      <c r="AI55" s="1604"/>
      <c r="AJ55" s="1604"/>
      <c r="AK55" s="1604"/>
      <c r="AL55" s="1604"/>
      <c r="AM55" s="1604"/>
      <c r="AN55" s="1604"/>
      <c r="AO55" s="1604"/>
      <c r="AP55" s="1604"/>
      <c r="AQ55" s="1604"/>
      <c r="AR55" s="1604"/>
      <c r="AS55" s="1604"/>
      <c r="AT55" s="1604"/>
      <c r="AU55" s="1604"/>
      <c r="AV55" s="1604"/>
      <c r="AW55" s="1604"/>
      <c r="AX55" s="1604"/>
      <c r="AY55" s="1604"/>
      <c r="AZ55" s="1605"/>
      <c r="BA55" s="1371"/>
      <c r="BC55" s="800"/>
      <c r="BI55" s="453"/>
      <c r="BJ55" s="453"/>
      <c r="BK55" s="453"/>
      <c r="BL55" s="453"/>
    </row>
    <row r="56" spans="1:64" s="409" customFormat="1" ht="4.5" customHeight="1">
      <c r="A56" s="1371"/>
      <c r="B56" s="400"/>
      <c r="C56" s="401"/>
      <c r="D56" s="400"/>
      <c r="E56" s="402"/>
      <c r="BA56" s="1371"/>
      <c r="BC56" s="800"/>
      <c r="BI56" s="453"/>
      <c r="BJ56" s="453"/>
      <c r="BK56" s="453"/>
      <c r="BL56" s="453"/>
    </row>
    <row r="57" spans="1:64" s="409" customFormat="1" ht="19.5" customHeight="1">
      <c r="A57" s="1371"/>
      <c r="B57" s="397"/>
      <c r="C57" s="448" t="s">
        <v>451</v>
      </c>
      <c r="D57" s="449"/>
      <c r="E57" s="447"/>
      <c r="F57" s="447"/>
      <c r="G57" s="447"/>
      <c r="H57" s="447"/>
      <c r="I57" s="447"/>
      <c r="J57" s="1606" t="e">
        <f>enletras(AG54)</f>
        <v>#NAME?</v>
      </c>
      <c r="K57" s="1606"/>
      <c r="L57" s="1606"/>
      <c r="M57" s="1606"/>
      <c r="N57" s="1606"/>
      <c r="O57" s="1606"/>
      <c r="P57" s="1606"/>
      <c r="Q57" s="1606"/>
      <c r="R57" s="1606"/>
      <c r="S57" s="1606"/>
      <c r="T57" s="1606"/>
      <c r="U57" s="1606"/>
      <c r="V57" s="1606"/>
      <c r="W57" s="1606"/>
      <c r="X57" s="1606"/>
      <c r="Y57" s="1606"/>
      <c r="Z57" s="1606"/>
      <c r="AA57" s="1606"/>
      <c r="AB57" s="1606"/>
      <c r="AC57" s="1606"/>
      <c r="AD57" s="1606"/>
      <c r="AE57" s="1606"/>
      <c r="AF57" s="1606"/>
      <c r="AG57" s="1606"/>
      <c r="AH57" s="1606"/>
      <c r="AI57" s="1606"/>
      <c r="AJ57" s="1606"/>
      <c r="AK57" s="1606"/>
      <c r="AL57" s="1606"/>
      <c r="AM57" s="1606"/>
      <c r="AN57" s="1606"/>
      <c r="AO57" s="1606"/>
      <c r="AP57" s="1606"/>
      <c r="AQ57" s="1606"/>
      <c r="AR57" s="1606"/>
      <c r="AS57" s="1606"/>
      <c r="AT57" s="1606"/>
      <c r="AU57" s="1606"/>
      <c r="AV57" s="1606"/>
      <c r="AW57" s="1606"/>
      <c r="AX57" s="1606"/>
      <c r="AY57" s="1606"/>
      <c r="AZ57" s="1607"/>
      <c r="BA57" s="1371"/>
      <c r="BC57" s="800"/>
      <c r="BI57" s="453"/>
      <c r="BJ57" s="453"/>
      <c r="BK57" s="453"/>
      <c r="BL57" s="453"/>
    </row>
    <row r="58" spans="1:64" s="409" customFormat="1" ht="5.25" customHeight="1">
      <c r="A58" s="1371"/>
      <c r="B58" s="403"/>
      <c r="BA58" s="1371"/>
      <c r="BC58" s="800"/>
      <c r="BI58" s="453"/>
      <c r="BJ58" s="453"/>
      <c r="BK58" s="453"/>
      <c r="BL58" s="453"/>
    </row>
    <row r="59" spans="1:64" s="409" customFormat="1" ht="21.75" customHeight="1">
      <c r="A59" s="1371"/>
      <c r="B59" s="404"/>
      <c r="C59" s="1611" t="s">
        <v>452</v>
      </c>
      <c r="D59" s="1612"/>
      <c r="E59" s="1612"/>
      <c r="F59" s="1612"/>
      <c r="G59" s="1612"/>
      <c r="H59" s="1612"/>
      <c r="I59" s="1612"/>
      <c r="J59" s="1612"/>
      <c r="K59" s="1612"/>
      <c r="L59" s="1612"/>
      <c r="M59" s="1612"/>
      <c r="N59" s="1612"/>
      <c r="O59" s="1612"/>
      <c r="P59" s="1612"/>
      <c r="Q59" s="1612"/>
      <c r="R59" s="1612"/>
      <c r="S59" s="1612"/>
      <c r="T59" s="1612"/>
      <c r="U59" s="1612"/>
      <c r="V59" s="1612"/>
      <c r="W59" s="1613"/>
      <c r="X59" s="1608" t="s">
        <v>453</v>
      </c>
      <c r="Y59" s="1614"/>
      <c r="Z59" s="1614"/>
      <c r="AA59" s="1614"/>
      <c r="AB59" s="1614"/>
      <c r="AC59" s="1614"/>
      <c r="AD59" s="1614"/>
      <c r="AE59" s="437"/>
      <c r="AF59" s="1608" t="s">
        <v>454</v>
      </c>
      <c r="AG59" s="1609"/>
      <c r="AH59" s="1609"/>
      <c r="AI59" s="1609"/>
      <c r="AJ59" s="1609"/>
      <c r="AK59" s="1609"/>
      <c r="AL59" s="1609"/>
      <c r="AM59" s="1610"/>
      <c r="AO59" s="1608" t="s">
        <v>455</v>
      </c>
      <c r="AP59" s="1609"/>
      <c r="AQ59" s="1609"/>
      <c r="AR59" s="1609"/>
      <c r="AS59" s="1609"/>
      <c r="AT59" s="1609"/>
      <c r="AU59" s="1609"/>
      <c r="AV59" s="1609"/>
      <c r="AW59" s="1609"/>
      <c r="AX59" s="1609"/>
      <c r="AY59" s="1609"/>
      <c r="AZ59" s="1610"/>
      <c r="BA59" s="1371"/>
      <c r="BC59" s="800"/>
      <c r="BI59" s="453"/>
      <c r="BJ59" s="453"/>
      <c r="BK59" s="453"/>
      <c r="BL59" s="453"/>
    </row>
    <row r="60" spans="1:64" s="409" customFormat="1" ht="12.75">
      <c r="A60" s="1371"/>
      <c r="B60" s="395"/>
      <c r="C60" s="444"/>
      <c r="D60" s="445"/>
      <c r="E60" s="44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  <c r="X60" s="435"/>
      <c r="Y60" s="426"/>
      <c r="Z60" s="426"/>
      <c r="AA60" s="426"/>
      <c r="AB60" s="426"/>
      <c r="AC60" s="426"/>
      <c r="AD60" s="426"/>
      <c r="AE60" s="427"/>
      <c r="AF60" s="435"/>
      <c r="AG60" s="426"/>
      <c r="AH60" s="426"/>
      <c r="AI60" s="426"/>
      <c r="AJ60" s="426"/>
      <c r="AK60" s="426"/>
      <c r="AL60" s="426"/>
      <c r="AM60" s="427"/>
      <c r="AO60" s="435"/>
      <c r="AP60" s="426"/>
      <c r="AQ60" s="426"/>
      <c r="AR60" s="426"/>
      <c r="AS60" s="426"/>
      <c r="AT60" s="426"/>
      <c r="AU60" s="426"/>
      <c r="AV60" s="426"/>
      <c r="AW60" s="426"/>
      <c r="AX60" s="426"/>
      <c r="AY60" s="426"/>
      <c r="AZ60" s="427"/>
      <c r="BA60" s="1371"/>
      <c r="BC60" s="800"/>
      <c r="BI60" s="453"/>
      <c r="BJ60" s="453"/>
      <c r="BK60" s="453"/>
      <c r="BL60" s="453"/>
    </row>
    <row r="61" spans="1:64" s="409" customFormat="1" ht="12.75">
      <c r="A61" s="1371"/>
      <c r="B61" s="395"/>
      <c r="C61" s="395"/>
      <c r="D61" s="395"/>
      <c r="E61" s="460"/>
      <c r="BA61" s="1371"/>
      <c r="BC61" s="800"/>
      <c r="BI61" s="453"/>
      <c r="BJ61" s="453"/>
      <c r="BK61" s="453"/>
      <c r="BL61" s="453"/>
    </row>
    <row r="62" spans="1:64" s="409" customFormat="1" ht="21.75" customHeight="1">
      <c r="A62" s="1371"/>
      <c r="B62" s="395"/>
      <c r="C62" s="395"/>
      <c r="D62" s="395"/>
      <c r="E62" s="460"/>
      <c r="BA62" s="1371"/>
      <c r="BC62" s="800"/>
      <c r="BI62" s="453"/>
      <c r="BJ62" s="453"/>
      <c r="BK62" s="453"/>
      <c r="BL62" s="453"/>
    </row>
    <row r="63" spans="1:64" s="409" customFormat="1" ht="12.75">
      <c r="A63" s="1371"/>
      <c r="B63" s="395"/>
      <c r="C63" s="395"/>
      <c r="D63" s="395"/>
      <c r="E63" s="460"/>
      <c r="BA63" s="1371"/>
      <c r="BC63" s="800"/>
      <c r="BI63" s="453"/>
      <c r="BJ63" s="453"/>
      <c r="BK63" s="453"/>
      <c r="BL63" s="453"/>
    </row>
    <row r="64" spans="1:64" s="409" customFormat="1" ht="12.75">
      <c r="A64" s="1371"/>
      <c r="B64" s="405"/>
      <c r="BA64" s="1371"/>
      <c r="BC64" s="800"/>
      <c r="BI64" s="453"/>
      <c r="BJ64" s="453"/>
      <c r="BK64" s="453"/>
      <c r="BL64" s="453"/>
    </row>
    <row r="65" spans="1:64" s="409" customFormat="1" ht="27" customHeight="1">
      <c r="A65" s="1371"/>
      <c r="B65" s="405"/>
      <c r="T65" s="412" t="s">
        <v>456</v>
      </c>
      <c r="BA65" s="1371"/>
      <c r="BC65" s="800"/>
      <c r="BI65" s="453"/>
      <c r="BJ65" s="453"/>
      <c r="BK65" s="453"/>
      <c r="BL65" s="453"/>
    </row>
    <row r="66" spans="1:64" s="409" customFormat="1" ht="12.75">
      <c r="A66" s="1371"/>
      <c r="B66" s="394"/>
      <c r="K66" s="406"/>
      <c r="T66" s="412" t="s">
        <v>457</v>
      </c>
      <c r="BA66" s="1371"/>
      <c r="BC66" s="800"/>
      <c r="BI66" s="453"/>
      <c r="BJ66" s="453"/>
      <c r="BK66" s="453"/>
      <c r="BL66" s="453"/>
    </row>
    <row r="67" spans="1:64" s="409" customFormat="1" ht="12.75">
      <c r="A67" s="1371"/>
      <c r="B67" s="410"/>
      <c r="T67" s="412" t="s">
        <v>458</v>
      </c>
      <c r="W67" s="1334" t="str">
        <f>'INGRESO DE DATOS'!$G$20</f>
        <v>#</v>
      </c>
      <c r="X67" s="1334"/>
      <c r="Y67" s="1334"/>
      <c r="Z67" s="1334"/>
      <c r="AA67" s="1334"/>
      <c r="AB67" s="1334"/>
      <c r="AC67" s="1334"/>
      <c r="AD67" s="412" t="s">
        <v>459</v>
      </c>
      <c r="AG67" s="1334" t="str">
        <f>'INGRESO DE DATOS'!$G$19</f>
        <v>#</v>
      </c>
      <c r="AH67" s="1334"/>
      <c r="AI67" s="1334"/>
      <c r="AJ67" s="1334"/>
      <c r="AK67" s="1334"/>
      <c r="AL67" s="1334"/>
      <c r="AM67" s="412" t="s">
        <v>460</v>
      </c>
      <c r="AP67" s="1334" t="str">
        <f>'INGRESO DE DATOS'!$G$17</f>
        <v>#</v>
      </c>
      <c r="AQ67" s="1334"/>
      <c r="AR67" s="1334"/>
      <c r="AS67" s="1334"/>
      <c r="AT67" s="1334"/>
      <c r="AU67" s="1334"/>
      <c r="AV67" s="1334"/>
      <c r="AW67" s="1334"/>
      <c r="AX67" s="1334"/>
      <c r="AY67" s="1334"/>
      <c r="AZ67" s="1334"/>
      <c r="BA67" s="1371"/>
      <c r="BC67" s="800"/>
      <c r="BI67" s="453"/>
      <c r="BJ67" s="453"/>
      <c r="BK67" s="453"/>
      <c r="BL67" s="453"/>
    </row>
    <row r="68" spans="1:64" s="409" customFormat="1" ht="12.75">
      <c r="A68" s="1371"/>
      <c r="B68" s="410"/>
      <c r="E68" s="411"/>
      <c r="T68" s="413" t="s">
        <v>461</v>
      </c>
      <c r="Y68" s="1334" t="str">
        <f>'INGRESO DE DATOS'!$G$21</f>
        <v>#</v>
      </c>
      <c r="Z68" s="1334"/>
      <c r="AA68" s="1334"/>
      <c r="AB68" s="1334"/>
      <c r="AC68" s="1334"/>
      <c r="AD68" s="1334"/>
      <c r="AE68" s="1334"/>
      <c r="AF68" s="1334"/>
      <c r="AG68" s="1334"/>
      <c r="AH68" s="1334"/>
      <c r="AI68" s="1334"/>
      <c r="AJ68" s="1334"/>
      <c r="AK68" s="1334"/>
      <c r="AL68" s="1334"/>
      <c r="AM68" s="1334"/>
      <c r="AN68" s="1334"/>
      <c r="AO68" s="1334"/>
      <c r="AP68" s="1334"/>
      <c r="AQ68" s="1334"/>
      <c r="AR68" s="1334"/>
      <c r="AS68" s="1334"/>
      <c r="AT68" s="1334"/>
      <c r="AU68" s="1334"/>
      <c r="AV68" s="1334"/>
      <c r="AW68" s="1334"/>
      <c r="AX68" s="1334"/>
      <c r="AY68" s="1334"/>
      <c r="AZ68" s="1334"/>
      <c r="BA68" s="1371"/>
      <c r="BC68" s="800"/>
      <c r="BI68" s="453"/>
      <c r="BJ68" s="453"/>
      <c r="BK68" s="453"/>
      <c r="BL68" s="453"/>
    </row>
    <row r="69" spans="1:64" s="409" customFormat="1" ht="12.75">
      <c r="A69" s="1371"/>
      <c r="BA69" s="1371"/>
      <c r="BC69" s="800"/>
      <c r="BI69" s="453"/>
      <c r="BJ69" s="453"/>
      <c r="BK69" s="453"/>
      <c r="BL69" s="453"/>
    </row>
    <row r="70" spans="1:64" s="409" customFormat="1" ht="12.75">
      <c r="A70" s="1371"/>
      <c r="BA70" s="1371"/>
      <c r="BC70" s="800"/>
      <c r="BI70" s="453"/>
      <c r="BJ70" s="453"/>
      <c r="BK70" s="453"/>
      <c r="BL70" s="453"/>
    </row>
    <row r="71" spans="1:64" s="409" customFormat="1" ht="3" customHeight="1">
      <c r="A71" s="1371"/>
      <c r="B71" s="1373"/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1373"/>
      <c r="N71" s="1373"/>
      <c r="O71" s="1373"/>
      <c r="P71" s="1373"/>
      <c r="Q71" s="1373"/>
      <c r="R71" s="1373"/>
      <c r="S71" s="1373"/>
      <c r="T71" s="1373"/>
      <c r="U71" s="1373"/>
      <c r="V71" s="1373"/>
      <c r="W71" s="1373"/>
      <c r="X71" s="1373"/>
      <c r="Y71" s="1373"/>
      <c r="Z71" s="1373"/>
      <c r="AA71" s="1373"/>
      <c r="AB71" s="1373"/>
      <c r="AC71" s="1373"/>
      <c r="AD71" s="1373"/>
      <c r="AE71" s="1373"/>
      <c r="AF71" s="1373"/>
      <c r="AG71" s="1373"/>
      <c r="AH71" s="1373"/>
      <c r="AI71" s="1373"/>
      <c r="AJ71" s="1373"/>
      <c r="AK71" s="1373"/>
      <c r="AL71" s="1373"/>
      <c r="AM71" s="1373"/>
      <c r="AN71" s="1373"/>
      <c r="AO71" s="1373"/>
      <c r="AP71" s="1373"/>
      <c r="AQ71" s="1373"/>
      <c r="AR71" s="1373"/>
      <c r="AS71" s="1373"/>
      <c r="AT71" s="1373"/>
      <c r="AU71" s="1373"/>
      <c r="AV71" s="1373"/>
      <c r="AW71" s="1373"/>
      <c r="AX71" s="1373"/>
      <c r="AY71" s="1373"/>
      <c r="AZ71" s="1373"/>
      <c r="BA71" s="1371"/>
      <c r="BC71" s="800"/>
      <c r="BI71" s="453"/>
      <c r="BJ71" s="453"/>
      <c r="BK71" s="453"/>
      <c r="BL71" s="453"/>
    </row>
    <row r="72" spans="55:64" s="409" customFormat="1" ht="12.75">
      <c r="BC72" s="800"/>
      <c r="BI72" s="453"/>
      <c r="BJ72" s="453"/>
      <c r="BK72" s="453"/>
      <c r="BL72" s="453"/>
    </row>
    <row r="73" spans="55:64" s="409" customFormat="1" ht="6" customHeight="1">
      <c r="BC73" s="800"/>
      <c r="BI73" s="453"/>
      <c r="BJ73" s="453"/>
      <c r="BK73" s="453"/>
      <c r="BL73" s="453"/>
    </row>
    <row r="74" spans="55:64" s="409" customFormat="1" ht="12.75">
      <c r="BC74" s="800"/>
      <c r="BI74" s="453"/>
      <c r="BJ74" s="453"/>
      <c r="BK74" s="453"/>
      <c r="BL74" s="453"/>
    </row>
    <row r="75" spans="44:64" s="409" customFormat="1" ht="12.75">
      <c r="AR75" s="407"/>
      <c r="BC75" s="800"/>
      <c r="BI75" s="453"/>
      <c r="BJ75" s="453"/>
      <c r="BK75" s="453"/>
      <c r="BL75" s="453"/>
    </row>
    <row r="76" spans="55:64" s="409" customFormat="1" ht="12.75">
      <c r="BC76" s="800"/>
      <c r="BI76" s="453"/>
      <c r="BJ76" s="453"/>
      <c r="BK76" s="453"/>
      <c r="BL76" s="453"/>
    </row>
    <row r="77" spans="55:64" s="409" customFormat="1" ht="12.75">
      <c r="BC77" s="800"/>
      <c r="BI77" s="453"/>
      <c r="BJ77" s="453"/>
      <c r="BK77" s="453"/>
      <c r="BL77" s="453"/>
    </row>
    <row r="78" spans="55:64" s="409" customFormat="1" ht="12.75">
      <c r="BC78" s="800"/>
      <c r="BI78" s="453"/>
      <c r="BJ78" s="453"/>
      <c r="BK78" s="453"/>
      <c r="BL78" s="453"/>
    </row>
    <row r="79" spans="55:64" s="409" customFormat="1" ht="12.75">
      <c r="BC79" s="800"/>
      <c r="BI79" s="453"/>
      <c r="BJ79" s="453"/>
      <c r="BK79" s="453"/>
      <c r="BL79" s="453"/>
    </row>
    <row r="80" spans="55:64" s="409" customFormat="1" ht="12.75">
      <c r="BC80" s="800"/>
      <c r="BI80" s="453"/>
      <c r="BJ80" s="453"/>
      <c r="BK80" s="453"/>
      <c r="BL80" s="453"/>
    </row>
    <row r="81" spans="55:64" s="409" customFormat="1" ht="12.75">
      <c r="BC81" s="800"/>
      <c r="BI81" s="453"/>
      <c r="BJ81" s="453"/>
      <c r="BK81" s="453"/>
      <c r="BL81" s="453"/>
    </row>
    <row r="82" spans="55:64" s="409" customFormat="1" ht="12.75">
      <c r="BC82" s="800"/>
      <c r="BI82" s="453"/>
      <c r="BJ82" s="453"/>
      <c r="BK82" s="453"/>
      <c r="BL82" s="453"/>
    </row>
    <row r="83" spans="55:64" s="409" customFormat="1" ht="12.75">
      <c r="BC83" s="800"/>
      <c r="BI83" s="453"/>
      <c r="BJ83" s="453"/>
      <c r="BK83" s="453"/>
      <c r="BL83" s="453"/>
    </row>
    <row r="84" spans="55:64" s="409" customFormat="1" ht="12.75">
      <c r="BC84" s="800"/>
      <c r="BI84" s="453"/>
      <c r="BJ84" s="453"/>
      <c r="BK84" s="453"/>
      <c r="BL84" s="453"/>
    </row>
    <row r="85" spans="55:64" s="409" customFormat="1" ht="12.75">
      <c r="BC85" s="800"/>
      <c r="BI85" s="453"/>
      <c r="BJ85" s="453"/>
      <c r="BK85" s="453"/>
      <c r="BL85" s="453"/>
    </row>
    <row r="86" spans="55:64" s="409" customFormat="1" ht="12.75">
      <c r="BC86" s="800"/>
      <c r="BI86" s="453"/>
      <c r="BJ86" s="453"/>
      <c r="BK86" s="453"/>
      <c r="BL86" s="453"/>
    </row>
    <row r="87" spans="55:64" s="409" customFormat="1" ht="12.75">
      <c r="BC87" s="800"/>
      <c r="BI87" s="453"/>
      <c r="BJ87" s="453"/>
      <c r="BK87" s="453"/>
      <c r="BL87" s="453"/>
    </row>
    <row r="88" spans="55:64" s="409" customFormat="1" ht="12.75">
      <c r="BC88" s="800"/>
      <c r="BI88" s="453"/>
      <c r="BJ88" s="453"/>
      <c r="BK88" s="453"/>
      <c r="BL88" s="453"/>
    </row>
    <row r="89" spans="55:64" s="409" customFormat="1" ht="12.75">
      <c r="BC89" s="800"/>
      <c r="BI89" s="453"/>
      <c r="BJ89" s="453"/>
      <c r="BK89" s="453"/>
      <c r="BL89" s="453"/>
    </row>
    <row r="90" spans="55:64" s="409" customFormat="1" ht="12.75">
      <c r="BC90" s="800"/>
      <c r="BI90" s="453"/>
      <c r="BJ90" s="453"/>
      <c r="BK90" s="453"/>
      <c r="BL90" s="453"/>
    </row>
    <row r="91" spans="55:64" s="409" customFormat="1" ht="12.75">
      <c r="BC91" s="800"/>
      <c r="BI91" s="453"/>
      <c r="BJ91" s="453"/>
      <c r="BK91" s="453"/>
      <c r="BL91" s="453"/>
    </row>
    <row r="92" spans="55:64" s="409" customFormat="1" ht="12.75">
      <c r="BC92" s="800"/>
      <c r="BI92" s="453"/>
      <c r="BJ92" s="453"/>
      <c r="BK92" s="453"/>
      <c r="BL92" s="453"/>
    </row>
    <row r="93" spans="55:64" s="409" customFormat="1" ht="12.75">
      <c r="BC93" s="800"/>
      <c r="BI93" s="453"/>
      <c r="BJ93" s="453"/>
      <c r="BK93" s="453"/>
      <c r="BL93" s="453"/>
    </row>
    <row r="94" spans="55:64" s="409" customFormat="1" ht="12.75">
      <c r="BC94" s="800"/>
      <c r="BI94" s="453"/>
      <c r="BJ94" s="453"/>
      <c r="BK94" s="453"/>
      <c r="BL94" s="453"/>
    </row>
    <row r="95" spans="55:64" s="409" customFormat="1" ht="12.75">
      <c r="BC95" s="800"/>
      <c r="BI95" s="453"/>
      <c r="BJ95" s="453"/>
      <c r="BK95" s="453"/>
      <c r="BL95" s="453"/>
    </row>
    <row r="96" spans="55:64" s="409" customFormat="1" ht="12.75">
      <c r="BC96" s="800"/>
      <c r="BI96" s="453"/>
      <c r="BJ96" s="453"/>
      <c r="BK96" s="453"/>
      <c r="BL96" s="453"/>
    </row>
    <row r="97" spans="55:64" s="409" customFormat="1" ht="12.75">
      <c r="BC97" s="800"/>
      <c r="BI97" s="453"/>
      <c r="BJ97" s="453"/>
      <c r="BK97" s="453"/>
      <c r="BL97" s="453"/>
    </row>
    <row r="98" spans="55:64" s="409" customFormat="1" ht="12.75">
      <c r="BC98" s="800"/>
      <c r="BI98" s="453"/>
      <c r="BJ98" s="453"/>
      <c r="BK98" s="453"/>
      <c r="BL98" s="453"/>
    </row>
    <row r="99" spans="55:64" s="409" customFormat="1" ht="12.75">
      <c r="BC99" s="800"/>
      <c r="BI99" s="453"/>
      <c r="BJ99" s="453"/>
      <c r="BK99" s="453"/>
      <c r="BL99" s="453"/>
    </row>
    <row r="100" spans="55:64" s="409" customFormat="1" ht="12.75">
      <c r="BC100" s="800"/>
      <c r="BI100" s="453"/>
      <c r="BJ100" s="453"/>
      <c r="BK100" s="453"/>
      <c r="BL100" s="453"/>
    </row>
    <row r="101" spans="55:64" s="409" customFormat="1" ht="12.75">
      <c r="BC101" s="800"/>
      <c r="BI101" s="453"/>
      <c r="BJ101" s="453"/>
      <c r="BK101" s="453"/>
      <c r="BL101" s="453"/>
    </row>
    <row r="102" spans="55:64" s="409" customFormat="1" ht="12.75">
      <c r="BC102" s="800"/>
      <c r="BI102" s="453"/>
      <c r="BJ102" s="453"/>
      <c r="BK102" s="453"/>
      <c r="BL102" s="453"/>
    </row>
    <row r="103" spans="55:64" s="409" customFormat="1" ht="12.75">
      <c r="BC103" s="800"/>
      <c r="BI103" s="453"/>
      <c r="BJ103" s="453"/>
      <c r="BK103" s="453"/>
      <c r="BL103" s="453"/>
    </row>
    <row r="104" spans="55:64" s="409" customFormat="1" ht="12.75">
      <c r="BC104" s="800"/>
      <c r="BI104" s="453"/>
      <c r="BJ104" s="453"/>
      <c r="BK104" s="453"/>
      <c r="BL104" s="453"/>
    </row>
    <row r="105" spans="55:64" s="409" customFormat="1" ht="12.75">
      <c r="BC105" s="800"/>
      <c r="BI105" s="453"/>
      <c r="BJ105" s="453"/>
      <c r="BK105" s="453"/>
      <c r="BL105" s="453"/>
    </row>
    <row r="106" spans="55:64" s="409" customFormat="1" ht="12.75">
      <c r="BC106" s="800"/>
      <c r="BI106" s="453"/>
      <c r="BJ106" s="453"/>
      <c r="BK106" s="453"/>
      <c r="BL106" s="453"/>
    </row>
    <row r="107" spans="55:64" s="409" customFormat="1" ht="12.75">
      <c r="BC107" s="800"/>
      <c r="BI107" s="453"/>
      <c r="BJ107" s="453"/>
      <c r="BK107" s="453"/>
      <c r="BL107" s="453"/>
    </row>
    <row r="108" spans="55:64" s="409" customFormat="1" ht="12.75">
      <c r="BC108" s="800"/>
      <c r="BI108" s="453"/>
      <c r="BJ108" s="453"/>
      <c r="BK108" s="453"/>
      <c r="BL108" s="453"/>
    </row>
    <row r="109" spans="55:64" s="409" customFormat="1" ht="12.75">
      <c r="BC109" s="800"/>
      <c r="BI109" s="453"/>
      <c r="BJ109" s="453"/>
      <c r="BK109" s="453"/>
      <c r="BL109" s="453"/>
    </row>
    <row r="110" spans="55:64" s="409" customFormat="1" ht="12.75">
      <c r="BC110" s="800"/>
      <c r="BI110" s="453"/>
      <c r="BJ110" s="453"/>
      <c r="BK110" s="453"/>
      <c r="BL110" s="453"/>
    </row>
    <row r="111" spans="55:64" s="163" customFormat="1" ht="13.5" customHeight="1">
      <c r="BC111" s="803"/>
      <c r="BI111" s="453"/>
      <c r="BJ111" s="453"/>
      <c r="BK111" s="453"/>
      <c r="BL111" s="453"/>
    </row>
  </sheetData>
  <sheetProtection password="CEAE" sheet="1" objects="1" scenarios="1"/>
  <mergeCells count="94">
    <mergeCell ref="AF59:AM59"/>
    <mergeCell ref="AQ52:AZ52"/>
    <mergeCell ref="AP51:AW51"/>
    <mergeCell ref="AD52:AN52"/>
    <mergeCell ref="AP43:AZ43"/>
    <mergeCell ref="Y68:AP68"/>
    <mergeCell ref="AQ68:AZ68"/>
    <mergeCell ref="AG54:AZ55"/>
    <mergeCell ref="W67:AC67"/>
    <mergeCell ref="J57:AZ57"/>
    <mergeCell ref="AG67:AL67"/>
    <mergeCell ref="AO59:AZ59"/>
    <mergeCell ref="AP67:AZ67"/>
    <mergeCell ref="C59:W59"/>
    <mergeCell ref="X59:AD59"/>
    <mergeCell ref="N49:U49"/>
    <mergeCell ref="N50:U50"/>
    <mergeCell ref="C50:E50"/>
    <mergeCell ref="F50:M50"/>
    <mergeCell ref="F49:M49"/>
    <mergeCell ref="C49:E49"/>
    <mergeCell ref="I10:AX10"/>
    <mergeCell ref="T12:AL12"/>
    <mergeCell ref="AL40:AN40"/>
    <mergeCell ref="AP40:AZ40"/>
    <mergeCell ref="X30:AD30"/>
    <mergeCell ref="Z17:AY17"/>
    <mergeCell ref="AF30:AI30"/>
    <mergeCell ref="X29:AD29"/>
    <mergeCell ref="AP38:AZ38"/>
    <mergeCell ref="AP36:AZ36"/>
    <mergeCell ref="AF38:AK38"/>
    <mergeCell ref="AF36:AK36"/>
    <mergeCell ref="M19:AY19"/>
    <mergeCell ref="I21:AY21"/>
    <mergeCell ref="AF28:AI28"/>
    <mergeCell ref="AF29:AI29"/>
    <mergeCell ref="X9:AH9"/>
    <mergeCell ref="T14:AR14"/>
    <mergeCell ref="AP37:AZ37"/>
    <mergeCell ref="AP49:AW49"/>
    <mergeCell ref="AP50:AW50"/>
    <mergeCell ref="AF31:AI31"/>
    <mergeCell ref="S38:Y38"/>
    <mergeCell ref="X31:AD31"/>
    <mergeCell ref="B27:W31"/>
    <mergeCell ref="X28:AD28"/>
    <mergeCell ref="AP39:AZ39"/>
    <mergeCell ref="AL39:AN39"/>
    <mergeCell ref="AF37:AK37"/>
    <mergeCell ref="K39:R39"/>
    <mergeCell ref="Z39:AE39"/>
    <mergeCell ref="F36:I36"/>
    <mergeCell ref="F37:I37"/>
    <mergeCell ref="F38:I38"/>
    <mergeCell ref="AF39:AK39"/>
    <mergeCell ref="S36:Y36"/>
    <mergeCell ref="G43:H43"/>
    <mergeCell ref="M48:V48"/>
    <mergeCell ref="AI43:AO43"/>
    <mergeCell ref="B36:D36"/>
    <mergeCell ref="S39:Y39"/>
    <mergeCell ref="B37:D37"/>
    <mergeCell ref="B38:D38"/>
    <mergeCell ref="S37:Y37"/>
    <mergeCell ref="B39:D39"/>
    <mergeCell ref="F39:I39"/>
    <mergeCell ref="AF40:AK40"/>
    <mergeCell ref="B41:D41"/>
    <mergeCell ref="F41:I41"/>
    <mergeCell ref="K41:R41"/>
    <mergeCell ref="S41:Y41"/>
    <mergeCell ref="Z41:AE41"/>
    <mergeCell ref="AF41:AK41"/>
    <mergeCell ref="S42:Y42"/>
    <mergeCell ref="Z42:AE42"/>
    <mergeCell ref="AF42:AK42"/>
    <mergeCell ref="AL41:AN41"/>
    <mergeCell ref="AP41:AZ41"/>
    <mergeCell ref="B40:D40"/>
    <mergeCell ref="F40:I40"/>
    <mergeCell ref="K40:R40"/>
    <mergeCell ref="S40:Y40"/>
    <mergeCell ref="Z40:AE40"/>
    <mergeCell ref="A1:A71"/>
    <mergeCell ref="BJ33:BK33"/>
    <mergeCell ref="B1:AZ1"/>
    <mergeCell ref="B71:AZ71"/>
    <mergeCell ref="BA1:BA71"/>
    <mergeCell ref="AL42:AN42"/>
    <mergeCell ref="AP42:AZ42"/>
    <mergeCell ref="B42:D42"/>
    <mergeCell ref="F42:I42"/>
    <mergeCell ref="K42:R42"/>
  </mergeCells>
  <printOptions horizontalCentered="1"/>
  <pageMargins left="1.1023622047244095" right="0.11811023622047245" top="0.15748031496062992" bottom="0.15748031496062992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9"/>
  <sheetViews>
    <sheetView zoomScalePageLayoutView="0" workbookViewId="0" topLeftCell="A1">
      <selection activeCell="C40" sqref="C40:D40"/>
    </sheetView>
  </sheetViews>
  <sheetFormatPr defaultColWidth="11.421875" defaultRowHeight="12.75"/>
  <cols>
    <col min="1" max="1" width="3.28125" style="0" customWidth="1"/>
    <col min="2" max="2" width="8.00390625" style="0" customWidth="1"/>
    <col min="3" max="3" width="8.140625" style="0" customWidth="1"/>
    <col min="4" max="4" width="8.421875" style="0" customWidth="1"/>
    <col min="5" max="5" width="5.140625" style="0" bestFit="1" customWidth="1"/>
    <col min="6" max="6" width="4.7109375" style="0" customWidth="1"/>
    <col min="7" max="7" width="2.00390625" style="0" customWidth="1"/>
    <col min="8" max="8" width="6.28125" style="0" customWidth="1"/>
    <col min="9" max="10" width="6.421875" style="0" customWidth="1"/>
    <col min="11" max="11" width="8.00390625" style="0" customWidth="1"/>
    <col min="12" max="12" width="3.421875" style="0" customWidth="1"/>
    <col min="13" max="13" width="10.8515625" style="0" customWidth="1"/>
    <col min="14" max="14" width="7.00390625" style="0" customWidth="1"/>
  </cols>
  <sheetData>
    <row r="1" ht="13.5" thickBot="1"/>
    <row r="2" spans="2:15" ht="13.5" thickTop="1">
      <c r="B2" s="548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50"/>
    </row>
    <row r="3" spans="2:15" ht="12.75" customHeight="1">
      <c r="B3" s="551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1642" t="s">
        <v>635</v>
      </c>
      <c r="N3" s="1642"/>
      <c r="O3" s="1643"/>
    </row>
    <row r="4" spans="2:15" ht="12.75" customHeight="1">
      <c r="B4" s="551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1642"/>
      <c r="N4" s="1642"/>
      <c r="O4" s="1643"/>
    </row>
    <row r="5" spans="2:15" ht="12.75">
      <c r="B5" s="551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1642"/>
      <c r="N5" s="1642"/>
      <c r="O5" s="1643"/>
    </row>
    <row r="6" spans="2:15" ht="12.75">
      <c r="B6" s="551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1642"/>
      <c r="N6" s="1642"/>
      <c r="O6" s="1643"/>
    </row>
    <row r="7" spans="2:15" ht="12.75">
      <c r="B7" s="551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3"/>
    </row>
    <row r="8" spans="2:15" ht="13.5" thickBot="1">
      <c r="B8" s="554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6"/>
    </row>
    <row r="9" spans="2:15" ht="17.25" customHeight="1" thickTop="1">
      <c r="B9" s="548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50"/>
    </row>
    <row r="10" spans="2:15" ht="15.75">
      <c r="B10" s="551"/>
      <c r="C10" s="557" t="s">
        <v>636</v>
      </c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3"/>
    </row>
    <row r="11" spans="2:15" ht="16.5" customHeight="1" thickBot="1">
      <c r="B11" s="551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3"/>
    </row>
    <row r="12" spans="2:15" ht="13.5" thickBot="1">
      <c r="B12" s="551"/>
      <c r="C12" s="558" t="s">
        <v>637</v>
      </c>
      <c r="D12" s="552"/>
      <c r="E12" s="552"/>
      <c r="F12" s="1637" t="str">
        <f>'INGRESO DE DATOS'!$G$6</f>
        <v>#</v>
      </c>
      <c r="G12" s="1635"/>
      <c r="H12" s="1635"/>
      <c r="I12" s="1635"/>
      <c r="J12" s="1635"/>
      <c r="K12" s="1635"/>
      <c r="L12" s="1635"/>
      <c r="M12" s="1635"/>
      <c r="N12" s="1638"/>
      <c r="O12" s="553"/>
    </row>
    <row r="13" spans="2:15" ht="13.5" thickBot="1">
      <c r="B13" s="551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3"/>
    </row>
    <row r="14" spans="2:15" ht="13.5" thickBot="1">
      <c r="B14" s="551"/>
      <c r="C14" s="559" t="s">
        <v>638</v>
      </c>
      <c r="D14" s="552"/>
      <c r="E14" s="1644" t="str">
        <f>'INGRESO DE DATOS'!$G$7</f>
        <v>#</v>
      </c>
      <c r="F14" s="1645"/>
      <c r="G14" s="1645"/>
      <c r="H14" s="1645"/>
      <c r="I14" s="1645"/>
      <c r="J14" s="1645"/>
      <c r="K14" s="1645"/>
      <c r="L14" s="1645"/>
      <c r="M14" s="1645"/>
      <c r="N14" s="1646"/>
      <c r="O14" s="553"/>
    </row>
    <row r="15" spans="2:15" ht="21.75" customHeight="1">
      <c r="B15" s="551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3"/>
    </row>
    <row r="16" spans="2:15" ht="13.5" thickBot="1">
      <c r="B16" s="551"/>
      <c r="C16" s="560" t="s">
        <v>639</v>
      </c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3"/>
    </row>
    <row r="17" spans="2:15" ht="13.5" thickBot="1">
      <c r="B17" s="551"/>
      <c r="C17" s="561"/>
      <c r="D17" s="562" t="s">
        <v>640</v>
      </c>
      <c r="E17" s="1637" t="str">
        <f>'INGRESO DE DATOS'!$G$10</f>
        <v>#</v>
      </c>
      <c r="F17" s="1635"/>
      <c r="G17" s="1635"/>
      <c r="H17" s="1635"/>
      <c r="I17" s="1635"/>
      <c r="J17" s="1635"/>
      <c r="K17" s="1635"/>
      <c r="L17" s="1635"/>
      <c r="M17" s="1635"/>
      <c r="N17" s="1638"/>
      <c r="O17" s="553"/>
    </row>
    <row r="18" spans="2:15" ht="13.5" thickBot="1">
      <c r="B18" s="551"/>
      <c r="C18" s="561"/>
      <c r="D18" s="562" t="s">
        <v>641</v>
      </c>
      <c r="E18" s="563" t="str">
        <f>'INGRESO DE DATOS'!$G$11</f>
        <v>#</v>
      </c>
      <c r="F18" s="561" t="s">
        <v>642</v>
      </c>
      <c r="G18" s="563"/>
      <c r="H18" s="561" t="s">
        <v>643</v>
      </c>
      <c r="I18" s="563"/>
      <c r="J18" s="561" t="s">
        <v>644</v>
      </c>
      <c r="K18" s="1634"/>
      <c r="L18" s="1634"/>
      <c r="M18" s="561"/>
      <c r="N18" s="561"/>
      <c r="O18" s="553"/>
    </row>
    <row r="19" spans="2:15" ht="13.5" thickBot="1">
      <c r="B19" s="551"/>
      <c r="C19" s="561"/>
      <c r="D19" s="562" t="s">
        <v>645</v>
      </c>
      <c r="E19" s="564"/>
      <c r="F19" s="561" t="s">
        <v>646</v>
      </c>
      <c r="G19" s="564"/>
      <c r="H19" s="561" t="s">
        <v>647</v>
      </c>
      <c r="I19" s="564"/>
      <c r="J19" s="561" t="s">
        <v>648</v>
      </c>
      <c r="K19" s="561"/>
      <c r="L19" s="564"/>
      <c r="M19" s="561"/>
      <c r="N19" s="561"/>
      <c r="O19" s="553"/>
    </row>
    <row r="20" spans="2:15" ht="13.5" thickBot="1">
      <c r="B20" s="551"/>
      <c r="C20" s="561"/>
      <c r="D20" s="562"/>
      <c r="E20" s="561"/>
      <c r="F20" s="561"/>
      <c r="G20" s="561" t="s">
        <v>649</v>
      </c>
      <c r="H20" s="561"/>
      <c r="I20" s="1636" t="s">
        <v>660</v>
      </c>
      <c r="J20" s="1636"/>
      <c r="K20" s="1636"/>
      <c r="L20" s="1636"/>
      <c r="M20" s="561"/>
      <c r="N20" s="561"/>
      <c r="O20" s="553"/>
    </row>
    <row r="21" spans="2:15" ht="13.5" thickBot="1">
      <c r="B21" s="551"/>
      <c r="C21" s="561"/>
      <c r="D21" s="562" t="s">
        <v>650</v>
      </c>
      <c r="E21" s="1641" t="str">
        <f>'INGRESO DE DATOS'!$G$13</f>
        <v>#</v>
      </c>
      <c r="F21" s="1641"/>
      <c r="G21" s="561"/>
      <c r="H21" s="561" t="s">
        <v>651</v>
      </c>
      <c r="I21" s="1634" t="str">
        <f>'INGRESO DE DATOS'!$G$14</f>
        <v>#</v>
      </c>
      <c r="J21" s="1634"/>
      <c r="K21" s="1634"/>
      <c r="L21" s="1634"/>
      <c r="M21" s="561"/>
      <c r="N21" s="561"/>
      <c r="O21" s="553"/>
    </row>
    <row r="22" spans="2:15" ht="13.5" thickBot="1">
      <c r="B22" s="551"/>
      <c r="C22" s="561"/>
      <c r="D22" s="562" t="s">
        <v>652</v>
      </c>
      <c r="E22" s="1635" t="str">
        <f>'INGRESO DE DATOS'!$G$12</f>
        <v>#</v>
      </c>
      <c r="F22" s="1635"/>
      <c r="G22" s="1635"/>
      <c r="H22" s="1635"/>
      <c r="I22" s="1635"/>
      <c r="J22" s="1635"/>
      <c r="K22" s="1635"/>
      <c r="L22" s="1635"/>
      <c r="M22" s="561"/>
      <c r="N22" s="561"/>
      <c r="O22" s="553"/>
    </row>
    <row r="23" spans="2:15" ht="13.5" thickBot="1">
      <c r="B23" s="551"/>
      <c r="C23" s="561"/>
      <c r="D23" s="562" t="s">
        <v>653</v>
      </c>
      <c r="E23" s="564"/>
      <c r="F23" s="565" t="s">
        <v>654</v>
      </c>
      <c r="G23" s="1636"/>
      <c r="H23" s="1636"/>
      <c r="I23" s="1636"/>
      <c r="J23" s="561" t="s">
        <v>655</v>
      </c>
      <c r="K23" s="564"/>
      <c r="L23" s="565" t="s">
        <v>654</v>
      </c>
      <c r="M23" s="1639"/>
      <c r="N23" s="1640"/>
      <c r="O23" s="553"/>
    </row>
    <row r="24" spans="2:15" ht="13.5" thickBot="1">
      <c r="B24" s="551"/>
      <c r="C24" s="561"/>
      <c r="D24" s="562" t="s">
        <v>656</v>
      </c>
      <c r="E24" s="1637"/>
      <c r="F24" s="1635"/>
      <c r="G24" s="1635"/>
      <c r="H24" s="1635"/>
      <c r="I24" s="1635"/>
      <c r="J24" s="1635"/>
      <c r="K24" s="1635"/>
      <c r="L24" s="1635"/>
      <c r="M24" s="1635"/>
      <c r="N24" s="1638"/>
      <c r="O24" s="553"/>
    </row>
    <row r="25" spans="2:15" ht="13.5" thickBot="1">
      <c r="B25" s="551"/>
      <c r="C25" s="561"/>
      <c r="D25" s="562" t="s">
        <v>657</v>
      </c>
      <c r="E25" s="1637"/>
      <c r="F25" s="1635"/>
      <c r="G25" s="1635"/>
      <c r="H25" s="1635"/>
      <c r="I25" s="1635"/>
      <c r="J25" s="1635"/>
      <c r="K25" s="1635"/>
      <c r="L25" s="1635"/>
      <c r="M25" s="1635"/>
      <c r="N25" s="1638"/>
      <c r="O25" s="553"/>
    </row>
    <row r="26" spans="2:15" ht="12.75">
      <c r="B26" s="551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3"/>
    </row>
    <row r="27" spans="2:15" ht="24" customHeight="1">
      <c r="B27" s="551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3"/>
    </row>
    <row r="28" spans="2:15" ht="13.5" thickBot="1">
      <c r="B28" s="551"/>
      <c r="C28" s="560" t="s">
        <v>658</v>
      </c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3"/>
    </row>
    <row r="29" spans="2:15" ht="13.5" thickBot="1">
      <c r="B29" s="551"/>
      <c r="C29" s="561"/>
      <c r="D29" s="562" t="s">
        <v>640</v>
      </c>
      <c r="E29" s="1637" t="str">
        <f>'INGRESO DE DATOS'!$G$23</f>
        <v>#</v>
      </c>
      <c r="F29" s="1635"/>
      <c r="G29" s="1635"/>
      <c r="H29" s="1635"/>
      <c r="I29" s="1635"/>
      <c r="J29" s="1635"/>
      <c r="K29" s="1635"/>
      <c r="L29" s="1635"/>
      <c r="M29" s="1635"/>
      <c r="N29" s="1638"/>
      <c r="O29" s="553"/>
    </row>
    <row r="30" spans="2:15" ht="13.5" thickBot="1">
      <c r="B30" s="551"/>
      <c r="C30" s="561"/>
      <c r="D30" s="562" t="s">
        <v>641</v>
      </c>
      <c r="E30" s="563" t="str">
        <f>'INGRESO DE DATOS'!$G$24</f>
        <v>#</v>
      </c>
      <c r="F30" s="561" t="s">
        <v>642</v>
      </c>
      <c r="G30" s="563">
        <f>$G$18</f>
        <v>0</v>
      </c>
      <c r="H30" s="561" t="s">
        <v>643</v>
      </c>
      <c r="I30" s="563"/>
      <c r="J30" s="561" t="s">
        <v>644</v>
      </c>
      <c r="K30" s="1634"/>
      <c r="L30" s="1634"/>
      <c r="M30" s="561"/>
      <c r="N30" s="561"/>
      <c r="O30" s="553"/>
    </row>
    <row r="31" spans="2:18" ht="13.5" thickBot="1">
      <c r="B31" s="551"/>
      <c r="C31" s="561"/>
      <c r="D31" s="562" t="s">
        <v>645</v>
      </c>
      <c r="E31" s="564">
        <f>E19</f>
        <v>0</v>
      </c>
      <c r="F31" s="561" t="s">
        <v>646</v>
      </c>
      <c r="G31" s="564">
        <f>G19</f>
        <v>0</v>
      </c>
      <c r="H31" s="561" t="s">
        <v>647</v>
      </c>
      <c r="I31" s="564" t="str">
        <f>'INGRESO DE DATOS'!$G$36</f>
        <v>#</v>
      </c>
      <c r="J31" s="561" t="s">
        <v>648</v>
      </c>
      <c r="K31" s="561"/>
      <c r="L31" s="564" t="str">
        <f>'INGRESO DE DATOS'!$G$30</f>
        <v>#</v>
      </c>
      <c r="M31" s="561"/>
      <c r="N31" s="561"/>
      <c r="O31" s="553"/>
      <c r="R31" s="566"/>
    </row>
    <row r="32" spans="2:15" ht="13.5" thickBot="1">
      <c r="B32" s="551"/>
      <c r="C32" s="561"/>
      <c r="D32" s="562"/>
      <c r="E32" s="561"/>
      <c r="F32" s="561"/>
      <c r="G32" s="561" t="s">
        <v>649</v>
      </c>
      <c r="H32" s="561"/>
      <c r="I32" s="1636" t="str">
        <f>I20</f>
        <v>BS. AS.</v>
      </c>
      <c r="J32" s="1636"/>
      <c r="K32" s="1636"/>
      <c r="L32" s="1636"/>
      <c r="M32" s="561"/>
      <c r="N32" s="561"/>
      <c r="O32" s="553"/>
    </row>
    <row r="33" spans="2:15" ht="13.5" thickBot="1">
      <c r="B33" s="551"/>
      <c r="C33" s="561"/>
      <c r="D33" s="562" t="s">
        <v>650</v>
      </c>
      <c r="E33" s="1641" t="str">
        <f>'INGRESO DE DATOS'!$G$25</f>
        <v>#</v>
      </c>
      <c r="F33" s="1641"/>
      <c r="G33" s="561"/>
      <c r="H33" s="561" t="s">
        <v>651</v>
      </c>
      <c r="I33" s="1634" t="str">
        <f>'INGRESO DE DATOS'!$G$27</f>
        <v>#</v>
      </c>
      <c r="J33" s="1634"/>
      <c r="K33" s="1634"/>
      <c r="L33" s="1634"/>
      <c r="M33" s="561"/>
      <c r="N33" s="561"/>
      <c r="O33" s="553"/>
    </row>
    <row r="34" spans="2:15" ht="13.5" thickBot="1">
      <c r="B34" s="551"/>
      <c r="C34" s="561"/>
      <c r="D34" s="562" t="s">
        <v>652</v>
      </c>
      <c r="E34" s="1635" t="str">
        <f>'INGRESO DE DATOS'!$G$26</f>
        <v>#</v>
      </c>
      <c r="F34" s="1635"/>
      <c r="G34" s="1635"/>
      <c r="H34" s="1635"/>
      <c r="I34" s="1635"/>
      <c r="J34" s="1635"/>
      <c r="K34" s="1635"/>
      <c r="L34" s="1635"/>
      <c r="M34" s="561"/>
      <c r="N34" s="561"/>
      <c r="O34" s="553"/>
    </row>
    <row r="35" spans="2:15" ht="13.5" thickBot="1">
      <c r="B35" s="551"/>
      <c r="C35" s="561"/>
      <c r="D35" s="562" t="s">
        <v>653</v>
      </c>
      <c r="E35" s="564"/>
      <c r="F35" s="565" t="s">
        <v>654</v>
      </c>
      <c r="G35" s="1636"/>
      <c r="H35" s="1636"/>
      <c r="I35" s="1636"/>
      <c r="J35" s="561" t="s">
        <v>655</v>
      </c>
      <c r="K35" s="564"/>
      <c r="L35" s="565" t="s">
        <v>654</v>
      </c>
      <c r="M35" s="1639"/>
      <c r="N35" s="1640"/>
      <c r="O35" s="553"/>
    </row>
    <row r="36" spans="2:15" ht="13.5" thickBot="1">
      <c r="B36" s="551"/>
      <c r="C36" s="561"/>
      <c r="D36" s="562" t="s">
        <v>656</v>
      </c>
      <c r="E36" s="1637"/>
      <c r="F36" s="1635"/>
      <c r="G36" s="1635"/>
      <c r="H36" s="1635"/>
      <c r="I36" s="1635"/>
      <c r="J36" s="1635"/>
      <c r="K36" s="1635"/>
      <c r="L36" s="1635"/>
      <c r="M36" s="1635"/>
      <c r="N36" s="1638"/>
      <c r="O36" s="553"/>
    </row>
    <row r="37" spans="2:15" ht="13.5" thickBot="1">
      <c r="B37" s="551"/>
      <c r="C37" s="561"/>
      <c r="D37" s="562" t="s">
        <v>657</v>
      </c>
      <c r="E37" s="1637">
        <f>$E$25</f>
        <v>0</v>
      </c>
      <c r="F37" s="1635"/>
      <c r="G37" s="1635"/>
      <c r="H37" s="1635"/>
      <c r="I37" s="1635"/>
      <c r="J37" s="1635"/>
      <c r="K37" s="1635"/>
      <c r="L37" s="1635"/>
      <c r="M37" s="1635"/>
      <c r="N37" s="1638"/>
      <c r="O37" s="553"/>
    </row>
    <row r="38" spans="2:15" ht="25.5" customHeight="1">
      <c r="B38" s="551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3"/>
    </row>
    <row r="39" spans="2:15" ht="14.25">
      <c r="B39" s="551"/>
      <c r="C39" s="575" t="s">
        <v>661</v>
      </c>
      <c r="D39" s="569"/>
      <c r="E39" s="1623" t="str">
        <f>'INGRESO DE DATOS'!$G$16</f>
        <v>#</v>
      </c>
      <c r="F39" s="1623"/>
      <c r="G39" s="1623"/>
      <c r="H39" s="1623"/>
      <c r="I39" s="1623"/>
      <c r="J39" s="1623"/>
      <c r="K39" s="569" t="s">
        <v>662</v>
      </c>
      <c r="L39" s="569"/>
      <c r="M39" s="568"/>
      <c r="N39" s="570"/>
      <c r="O39" s="553"/>
    </row>
    <row r="40" spans="2:15" ht="15">
      <c r="B40" s="551"/>
      <c r="C40" s="1630" t="str">
        <f>'INGRESO DE DATOS'!$G$17</f>
        <v>#</v>
      </c>
      <c r="D40" s="1631"/>
      <c r="E40" s="1625" t="s">
        <v>663</v>
      </c>
      <c r="F40" s="1625"/>
      <c r="G40" s="1625"/>
      <c r="H40" s="1625"/>
      <c r="I40" s="1632" t="s">
        <v>546</v>
      </c>
      <c r="J40" s="1632"/>
      <c r="K40" s="1632" t="s">
        <v>665</v>
      </c>
      <c r="L40" s="1633"/>
      <c r="M40" s="571"/>
      <c r="N40" s="572"/>
      <c r="O40" s="553"/>
    </row>
    <row r="41" spans="2:15" ht="14.25">
      <c r="B41" s="551"/>
      <c r="C41" s="1624" t="s">
        <v>666</v>
      </c>
      <c r="D41" s="1625"/>
      <c r="E41" s="1625"/>
      <c r="F41" s="1625"/>
      <c r="G41" s="1625"/>
      <c r="H41" s="1625"/>
      <c r="I41" s="1625"/>
      <c r="J41" s="1625"/>
      <c r="K41" s="1625"/>
      <c r="L41" s="1626"/>
      <c r="M41" s="571"/>
      <c r="N41" s="572"/>
      <c r="O41" s="553"/>
    </row>
    <row r="42" spans="2:15" ht="14.25">
      <c r="B42" s="551"/>
      <c r="C42" s="1627" t="s">
        <v>667</v>
      </c>
      <c r="D42" s="1628"/>
      <c r="E42" s="1628"/>
      <c r="F42" s="1628"/>
      <c r="G42" s="1628"/>
      <c r="H42" s="1628"/>
      <c r="I42" s="1628"/>
      <c r="J42" s="1628"/>
      <c r="K42" s="1628"/>
      <c r="L42" s="1629"/>
      <c r="M42" s="571"/>
      <c r="N42" s="572"/>
      <c r="O42" s="553"/>
    </row>
    <row r="43" spans="2:15" ht="14.25">
      <c r="B43" s="551"/>
      <c r="C43" s="1627" t="s">
        <v>668</v>
      </c>
      <c r="D43" s="1628"/>
      <c r="E43" s="1628"/>
      <c r="F43" s="1628"/>
      <c r="G43" s="1628"/>
      <c r="H43" s="1628"/>
      <c r="I43" s="1628"/>
      <c r="J43" s="1628"/>
      <c r="K43" s="1628"/>
      <c r="L43" s="1629"/>
      <c r="M43" s="571"/>
      <c r="N43" s="572"/>
      <c r="O43" s="553"/>
    </row>
    <row r="44" spans="2:15" ht="14.25">
      <c r="B44" s="551"/>
      <c r="C44" s="1624" t="s">
        <v>669</v>
      </c>
      <c r="D44" s="1625"/>
      <c r="E44" s="1625"/>
      <c r="F44" s="1625"/>
      <c r="G44" s="1625"/>
      <c r="H44" s="1625"/>
      <c r="I44" s="1625"/>
      <c r="J44" s="1625"/>
      <c r="K44" s="1625"/>
      <c r="L44" s="1626"/>
      <c r="M44" s="571"/>
      <c r="N44" s="572"/>
      <c r="O44" s="553"/>
    </row>
    <row r="45" spans="2:15" ht="14.25">
      <c r="B45" s="551"/>
      <c r="C45" s="576"/>
      <c r="D45" s="574"/>
      <c r="E45" s="574"/>
      <c r="F45" s="574"/>
      <c r="G45" s="574"/>
      <c r="H45" s="574"/>
      <c r="I45" s="574"/>
      <c r="J45" s="574"/>
      <c r="K45" s="574"/>
      <c r="L45" s="574"/>
      <c r="M45" s="573"/>
      <c r="N45" s="577" t="s">
        <v>664</v>
      </c>
      <c r="O45" s="553"/>
    </row>
    <row r="46" spans="2:15" ht="12.75">
      <c r="B46" s="551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3"/>
    </row>
    <row r="47" spans="2:15" ht="12.75">
      <c r="B47" s="551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3"/>
    </row>
    <row r="48" spans="2:15" ht="13.5" thickBot="1">
      <c r="B48" s="554"/>
      <c r="C48" s="555"/>
      <c r="D48" s="555"/>
      <c r="E48" s="1621" t="s">
        <v>659</v>
      </c>
      <c r="F48" s="1621"/>
      <c r="G48" s="1621"/>
      <c r="H48" s="1621"/>
      <c r="I48" s="1621"/>
      <c r="J48" s="1621"/>
      <c r="K48" s="1621"/>
      <c r="L48" s="1621"/>
      <c r="M48" s="1621"/>
      <c r="N48" s="1621"/>
      <c r="O48" s="1622"/>
    </row>
    <row r="49" ht="13.5" thickTop="1">
      <c r="B49" s="567"/>
    </row>
  </sheetData>
  <sheetProtection password="CEAE" sheet="1"/>
  <mergeCells count="33">
    <mergeCell ref="M3:O6"/>
    <mergeCell ref="F12:N12"/>
    <mergeCell ref="E14:N14"/>
    <mergeCell ref="E17:N17"/>
    <mergeCell ref="K18:L18"/>
    <mergeCell ref="I20:L20"/>
    <mergeCell ref="E33:F33"/>
    <mergeCell ref="I33:L33"/>
    <mergeCell ref="G35:I35"/>
    <mergeCell ref="M35:N35"/>
    <mergeCell ref="E36:N36"/>
    <mergeCell ref="E37:N37"/>
    <mergeCell ref="E34:L34"/>
    <mergeCell ref="I21:L21"/>
    <mergeCell ref="E22:L22"/>
    <mergeCell ref="G23:I23"/>
    <mergeCell ref="E29:N29"/>
    <mergeCell ref="K30:L30"/>
    <mergeCell ref="I32:L32"/>
    <mergeCell ref="M23:N23"/>
    <mergeCell ref="E24:N24"/>
    <mergeCell ref="E25:N25"/>
    <mergeCell ref="E21:F21"/>
    <mergeCell ref="E48:O48"/>
    <mergeCell ref="E39:J39"/>
    <mergeCell ref="C44:L44"/>
    <mergeCell ref="E40:H40"/>
    <mergeCell ref="C41:L41"/>
    <mergeCell ref="C42:L42"/>
    <mergeCell ref="C43:L43"/>
    <mergeCell ref="C40:D40"/>
    <mergeCell ref="I40:J40"/>
    <mergeCell ref="K40:L40"/>
  </mergeCells>
  <printOptions horizontalCentered="1" verticalCentered="1"/>
  <pageMargins left="0.5905511811023623" right="0" top="0.984251968503937" bottom="0.984251968503937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6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38.57421875" style="0" bestFit="1" customWidth="1"/>
    <col min="3" max="3" width="24.28125" style="634" customWidth="1"/>
    <col min="6" max="6" width="12.57421875" style="0" customWidth="1"/>
  </cols>
  <sheetData>
    <row r="1" spans="5:7" ht="20.25">
      <c r="E1" s="225"/>
      <c r="F1" s="225"/>
      <c r="G1" s="225"/>
    </row>
    <row r="2" spans="2:7" ht="20.25">
      <c r="B2" s="633" t="s">
        <v>625</v>
      </c>
      <c r="C2" s="634" t="str">
        <f>'INGRESO DE DATOS'!$I$125</f>
        <v>ERROR</v>
      </c>
      <c r="E2" s="225"/>
      <c r="F2" s="225"/>
      <c r="G2" s="225"/>
    </row>
    <row r="3" ht="20.25">
      <c r="B3" s="633"/>
    </row>
    <row r="4" spans="2:3" ht="20.25">
      <c r="B4" s="633" t="s">
        <v>689</v>
      </c>
      <c r="C4" s="634" t="e">
        <f>+C2*1.35%</f>
        <v>#VALUE!</v>
      </c>
    </row>
    <row r="5" spans="2:3" ht="20.25">
      <c r="B5" s="633" t="s">
        <v>688</v>
      </c>
      <c r="C5" s="634" t="e">
        <f>+C2*10%</f>
        <v>#VALUE!</v>
      </c>
    </row>
    <row r="6" spans="2:3" ht="20.25">
      <c r="B6" s="633" t="s">
        <v>620</v>
      </c>
      <c r="C6" s="634" t="e">
        <f>'INGRESO DE DATOS'!$I$130</f>
        <v>#VALUE!</v>
      </c>
    </row>
    <row r="7" spans="2:16" ht="20.25">
      <c r="B7" s="633" t="s">
        <v>621</v>
      </c>
      <c r="C7" s="634">
        <f>'Art.29'!$AG$54</f>
        <v>0</v>
      </c>
      <c r="O7" s="252"/>
      <c r="P7" s="252"/>
    </row>
    <row r="8" spans="2:16" ht="20.25">
      <c r="B8" s="633" t="s">
        <v>687</v>
      </c>
      <c r="C8" s="962">
        <v>0</v>
      </c>
      <c r="L8" s="543"/>
      <c r="M8" s="543"/>
      <c r="N8" s="543"/>
      <c r="O8" s="543"/>
      <c r="P8" s="543"/>
    </row>
    <row r="9" spans="2:16" ht="20.25">
      <c r="B9" s="633" t="s">
        <v>622</v>
      </c>
      <c r="C9" s="962">
        <v>0</v>
      </c>
      <c r="L9" s="543"/>
      <c r="M9" s="543"/>
      <c r="N9" s="543"/>
      <c r="O9" s="543"/>
      <c r="P9" s="543"/>
    </row>
    <row r="10" spans="2:16" ht="20.25" hidden="1">
      <c r="B10" s="633" t="s">
        <v>623</v>
      </c>
      <c r="C10" s="962" t="e">
        <f>+C2*3.5%</f>
        <v>#VALUE!</v>
      </c>
      <c r="L10" s="543"/>
      <c r="M10" s="543"/>
      <c r="N10" s="543"/>
      <c r="O10" s="543"/>
      <c r="P10" s="543"/>
    </row>
    <row r="11" spans="2:16" ht="20.25">
      <c r="B11" s="633" t="s">
        <v>690</v>
      </c>
      <c r="C11" s="962">
        <v>0</v>
      </c>
      <c r="L11" s="543"/>
      <c r="M11" s="543"/>
      <c r="N11" s="543"/>
      <c r="O11" s="543"/>
      <c r="P11" s="543"/>
    </row>
    <row r="12" spans="2:17" ht="20.25">
      <c r="B12" s="633" t="s">
        <v>849</v>
      </c>
      <c r="C12" s="962">
        <v>0</v>
      </c>
      <c r="L12" s="543"/>
      <c r="M12" s="543"/>
      <c r="N12" s="543"/>
      <c r="O12" s="543"/>
      <c r="Q12" s="543"/>
    </row>
    <row r="13" spans="3:16" ht="20.25">
      <c r="C13" s="963"/>
      <c r="L13" s="543"/>
      <c r="M13" s="543"/>
      <c r="N13" s="543"/>
      <c r="O13" s="543"/>
      <c r="P13" s="592"/>
    </row>
    <row r="14" spans="2:16" ht="20.25">
      <c r="B14" s="633" t="s">
        <v>624</v>
      </c>
      <c r="C14" s="634" t="e">
        <f>SUM(C4:C11)</f>
        <v>#VALUE!</v>
      </c>
      <c r="P14" s="592"/>
    </row>
    <row r="15" ht="20.25">
      <c r="P15" s="592"/>
    </row>
    <row r="16" spans="14:16" ht="20.25">
      <c r="N16" s="543"/>
      <c r="P16" s="592"/>
    </row>
  </sheetData>
  <sheetProtection password="CEAE"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omann</dc:creator>
  <cp:keywords/>
  <dc:description/>
  <cp:lastModifiedBy>Juan Carlos</cp:lastModifiedBy>
  <cp:lastPrinted>2019-09-03T15:55:11Z</cp:lastPrinted>
  <dcterms:created xsi:type="dcterms:W3CDTF">2002-05-15T17:10:16Z</dcterms:created>
  <dcterms:modified xsi:type="dcterms:W3CDTF">2019-09-03T19:54:50Z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