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1640" activeTab="1"/>
  </bookViews>
  <sheets>
    <sheet name="INSTRUCTIVO" sheetId="1" r:id="rId1"/>
    <sheet name="INGRESO DE DATOS" sheetId="2" r:id="rId2"/>
    <sheet name="CONTRATO PROFESIONAL" sheetId="3" r:id="rId3"/>
    <sheet name="ARBA R115" sheetId="4" r:id="rId4"/>
    <sheet name="PLANILLA DE CALCULOS " sheetId="5" state="hidden" r:id="rId5"/>
  </sheets>
  <definedNames>
    <definedName name="_xlnm.Print_Area" localSheetId="2">'CONTRATO PROFESIONAL'!$A$1:$BK$154</definedName>
    <definedName name="_xlnm.Print_Area" localSheetId="4">'PLANILLA DE CALCULOS '!$O$4:$R$70</definedName>
  </definedNames>
  <calcPr fullCalcOnLoad="1"/>
</workbook>
</file>

<file path=xl/sharedStrings.xml><?xml version="1.0" encoding="utf-8"?>
<sst xmlns="http://schemas.openxmlformats.org/spreadsheetml/2006/main" count="575" uniqueCount="392">
  <si>
    <t xml:space="preserve">En la ciudad de </t>
  </si>
  <si>
    <t xml:space="preserve">    del mes de </t>
  </si>
  <si>
    <t>del año</t>
  </si>
  <si>
    <t>entre</t>
  </si>
  <si>
    <t>con titulo profesional de</t>
  </si>
  <si>
    <t>para</t>
  </si>
  <si>
    <t>CIRC.</t>
  </si>
  <si>
    <t xml:space="preserve"> DETERMINACIÓN DEL HONORARIO</t>
  </si>
  <si>
    <t>V.I.</t>
  </si>
  <si>
    <t>Hasta</t>
  </si>
  <si>
    <t>TOTAL</t>
  </si>
  <si>
    <t xml:space="preserve"> </t>
  </si>
  <si>
    <t xml:space="preserve">    </t>
  </si>
  <si>
    <t>Honorario base (h / Fc)</t>
  </si>
  <si>
    <t xml:space="preserve">% de (A)  </t>
  </si>
  <si>
    <t>Total parcial (I)</t>
  </si>
  <si>
    <t xml:space="preserve"> VISADO Nº:</t>
  </si>
  <si>
    <t>% de (A)</t>
  </si>
  <si>
    <t>Total parcial (II)</t>
  </si>
  <si>
    <t xml:space="preserve">  </t>
  </si>
  <si>
    <t>Sigue al dorso</t>
  </si>
  <si>
    <t>FIRMA DEL COMITENTE (S)</t>
  </si>
  <si>
    <t>FIRMA DEL PROFESIONAL</t>
  </si>
  <si>
    <t>Nombre :</t>
  </si>
  <si>
    <t>Domicilio:</t>
  </si>
  <si>
    <t xml:space="preserve">Matricula: </t>
  </si>
  <si>
    <t>%</t>
  </si>
  <si>
    <t>PLANILLA DE INGRESO DE DATOS</t>
  </si>
  <si>
    <t>CIUDAD EN LA QUE SE FIRMA EL CONTRATO</t>
  </si>
  <si>
    <t>DIA EN EL QUE SE FIRMA EL CONTRATO</t>
  </si>
  <si>
    <t>MES EN EL QUE SE FIRMA EL CONTRATO</t>
  </si>
  <si>
    <t>AÑO EN EL QUE SE FIRMA EL CONTRATO</t>
  </si>
  <si>
    <t>NOMBRE DEL COMITENTE</t>
  </si>
  <si>
    <t>DOMICILIO LEGAL DEL COMITENTE</t>
  </si>
  <si>
    <t>NOMBRE DEL PROFESIONAL</t>
  </si>
  <si>
    <t>TITULO DEL PROFESIONAL</t>
  </si>
  <si>
    <t>MATRICULA DEL PROFESIONAL</t>
  </si>
  <si>
    <t>DOMICILIO REAL DEL PROFESIONAL</t>
  </si>
  <si>
    <t>TAREA A REALIZAR POR EL PROFESIONAL</t>
  </si>
  <si>
    <t>PARA</t>
  </si>
  <si>
    <t>PARTIDO DE LA TAREA A REALIZAR</t>
  </si>
  <si>
    <t xml:space="preserve">CIRCUNSCRIPCION </t>
  </si>
  <si>
    <t>SECCION</t>
  </si>
  <si>
    <t>MANZANA</t>
  </si>
  <si>
    <t>PARCELA</t>
  </si>
  <si>
    <t>PLAZO DE VIGENCIA DEL CONTRATO</t>
  </si>
  <si>
    <t>FORMA DE PAGO</t>
  </si>
  <si>
    <t>25% ANTICIPO</t>
  </si>
  <si>
    <t>50% A LA FIRMA DE DOCUMENTACION</t>
  </si>
  <si>
    <t>25% CONTRA ENTREGA DE LA DOC.</t>
  </si>
  <si>
    <t xml:space="preserve">CLAUSULAS Y CONDICIONES ESPECIALES </t>
  </si>
  <si>
    <t>JURISDICCION DE TRIBUNALES ACTUANTES</t>
  </si>
  <si>
    <t>NUMERO DE BOLETA DE APORTE PROF.</t>
  </si>
  <si>
    <t>NUMERO DE BOLETA DE EJERC. PROF.</t>
  </si>
  <si>
    <t>SUCURSAL DEL BANCO PROVINCIA</t>
  </si>
  <si>
    <t>K1</t>
  </si>
  <si>
    <t>M1p+M1s</t>
  </si>
  <si>
    <t>HP</t>
  </si>
  <si>
    <t>INGRESE LOS SIGUIENTES DATOS</t>
  </si>
  <si>
    <t>BOCAS</t>
  </si>
  <si>
    <t>F</t>
  </si>
  <si>
    <t>Vi Total</t>
  </si>
  <si>
    <t>Vi. Informe</t>
  </si>
  <si>
    <t xml:space="preserve"> CONTRATACION OBLIGATORIA DE TAREAS PROFESIONALES</t>
  </si>
  <si>
    <t>C-1) Proyecto y Direccion Cat. S/tabla XVII</t>
  </si>
  <si>
    <t>TOTAL (V.I.)</t>
  </si>
  <si>
    <t>$</t>
  </si>
  <si>
    <t>s/los sigtes.</t>
  </si>
  <si>
    <t>TOTAL (c-1)</t>
  </si>
  <si>
    <t xml:space="preserve">Inciso a) Tabla XXI </t>
  </si>
  <si>
    <t>S/inciso a()</t>
  </si>
  <si>
    <t>0,5 del V.I.</t>
  </si>
  <si>
    <t>S/inciso b()</t>
  </si>
  <si>
    <t xml:space="preserve"> HASTA</t>
  </si>
  <si>
    <t>de</t>
  </si>
  <si>
    <t xml:space="preserve">d-2 ) Direccion </t>
  </si>
  <si>
    <t>CONTRIBUCION OBLIGATORIA</t>
  </si>
  <si>
    <t>(Art.29 Ley 12,490)</t>
  </si>
  <si>
    <t xml:space="preserve">TOTAL (b1) </t>
  </si>
  <si>
    <t xml:space="preserve">Hasta </t>
  </si>
  <si>
    <t>s/los sigtes</t>
  </si>
  <si>
    <t xml:space="preserve">Total (A) </t>
  </si>
  <si>
    <t xml:space="preserve">APORTE 10% (A) </t>
  </si>
  <si>
    <t xml:space="preserve">APORTE 10% (H) </t>
  </si>
  <si>
    <t>Honorario total s/decr.. 6964/65 ( A+B+C-1+C-2+D)</t>
  </si>
  <si>
    <t>(Ho)</t>
  </si>
  <si>
    <t>BOCA</t>
  </si>
  <si>
    <t>COMPUTO Y PRESUPUESTO</t>
  </si>
  <si>
    <r>
      <t>H)</t>
    </r>
    <r>
      <rPr>
        <sz val="8"/>
        <color indexed="8"/>
        <rFont val="Arial"/>
        <family val="2"/>
      </rPr>
      <t xml:space="preserve"> Honorario convenido (Monto del Contrato)</t>
    </r>
  </si>
  <si>
    <t>CONTRIBUCION ART. 29</t>
  </si>
  <si>
    <t>TOTAL (c)</t>
  </si>
  <si>
    <t>a) DETERMINACION DEL HONORARIO</t>
  </si>
  <si>
    <t>b) Descomposicion de Honorario</t>
  </si>
  <si>
    <t>c) Mediciones: Titulo VIII (exc. Incs C Y d)</t>
  </si>
  <si>
    <t>d) Informe Tecnico (s/tit.II -art. 5º)</t>
  </si>
  <si>
    <t>&lt; 500</t>
  </si>
  <si>
    <t>de 501 a 1000</t>
  </si>
  <si>
    <t>de 1001 a 1500</t>
  </si>
  <si>
    <t>de 1501 a 3200</t>
  </si>
  <si>
    <t>desde 3201</t>
  </si>
  <si>
    <t>C.E.P</t>
  </si>
  <si>
    <t>VEINTICUATRO (24) MESES</t>
  </si>
  <si>
    <t xml:space="preserve">d-1 ) Proyecto </t>
  </si>
  <si>
    <t>DNI DEL COMITENTE  /  C.U.I.T.</t>
  </si>
  <si>
    <r>
      <t xml:space="preserve">Valor por </t>
    </r>
    <r>
      <rPr>
        <b/>
        <sz val="10"/>
        <color indexed="8"/>
        <rFont val="Arial"/>
        <family val="2"/>
      </rPr>
      <t>INFORME TECNICO</t>
    </r>
  </si>
  <si>
    <r>
      <t xml:space="preserve">Valor por </t>
    </r>
    <r>
      <rPr>
        <b/>
        <sz val="10"/>
        <color indexed="8"/>
        <rFont val="Arial"/>
        <family val="2"/>
      </rPr>
      <t>REPRESENTACION TECNICA</t>
    </r>
  </si>
  <si>
    <t>Bocas  MED e INF.</t>
  </si>
  <si>
    <t>Bocas  PRO y PRY DIR.</t>
  </si>
  <si>
    <t>HP     MED e INF.</t>
  </si>
  <si>
    <t>HP   PRO y PRY DIR.</t>
  </si>
  <si>
    <t>f) Representacion Tecnica</t>
  </si>
  <si>
    <t>Vi. Rep.Tec.</t>
  </si>
  <si>
    <t>b) Honorario Por Proyecto</t>
  </si>
  <si>
    <t>Los Siguientes</t>
  </si>
  <si>
    <t>Honorario</t>
  </si>
  <si>
    <t>Proyecto</t>
  </si>
  <si>
    <t>Direccion</t>
  </si>
  <si>
    <t>Determinacion del Honorario</t>
  </si>
  <si>
    <t xml:space="preserve">el dia  </t>
  </si>
  <si>
    <t>EL MISMO,</t>
  </si>
  <si>
    <t>C.U.I.T.</t>
  </si>
  <si>
    <t>LOCALIDAD</t>
  </si>
  <si>
    <t>DOMICILIO LEGAL DEL TECNICO</t>
  </si>
  <si>
    <t xml:space="preserve">Insiso B </t>
  </si>
  <si>
    <t>Min. Inc. A</t>
  </si>
  <si>
    <t>OBSERVACIONES:</t>
  </si>
  <si>
    <t>Proyecto y direccion</t>
  </si>
  <si>
    <t>Medicion</t>
  </si>
  <si>
    <t>Informe Tecnico</t>
  </si>
  <si>
    <t>Represent.  Tecnica</t>
  </si>
  <si>
    <t>, vencido el cual deberan</t>
  </si>
  <si>
    <t xml:space="preserve">              -------------------------------------------------------------</t>
  </si>
  <si>
    <t>EL MISMO</t>
  </si>
  <si>
    <t>Cat.</t>
  </si>
  <si>
    <t>cat.</t>
  </si>
  <si>
    <t>Vi. Proy. Y Dir</t>
  </si>
  <si>
    <t>SE CONSIGNA EL MONTO DEL HONORARIO EN PESOS:</t>
  </si>
  <si>
    <t>Parcial</t>
  </si>
  <si>
    <t>Acumulado</t>
  </si>
  <si>
    <r>
      <t>U</t>
    </r>
    <r>
      <rPr>
        <sz val="10"/>
        <color indexed="8"/>
        <rFont val="Arial"/>
        <family val="2"/>
      </rPr>
      <t xml:space="preserve">nidad </t>
    </r>
    <r>
      <rPr>
        <b/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eferencial</t>
    </r>
    <r>
      <rPr>
        <b/>
        <sz val="10"/>
        <color indexed="8"/>
        <rFont val="Arial"/>
        <family val="2"/>
      </rPr>
      <t xml:space="preserve"> B</t>
    </r>
    <r>
      <rPr>
        <sz val="10"/>
        <color indexed="8"/>
        <rFont val="Arial"/>
        <family val="2"/>
      </rPr>
      <t>asica</t>
    </r>
  </si>
  <si>
    <t>TIPO DE CONTRATO</t>
  </si>
  <si>
    <r>
      <t xml:space="preserve">Artículo 4º: </t>
    </r>
    <r>
      <rPr>
        <sz val="10"/>
        <color indexed="8"/>
        <rFont val="Arial"/>
        <family val="2"/>
      </rPr>
      <t>Se establece como plazo de vigencia del presente contrato</t>
    </r>
  </si>
  <si>
    <r>
      <t xml:space="preserve">CORRESPONDE APLICAR </t>
    </r>
    <r>
      <rPr>
        <b/>
        <sz val="10"/>
        <color indexed="8"/>
        <rFont val="Arial"/>
        <family val="2"/>
      </rPr>
      <t>RES.</t>
    </r>
    <r>
      <rPr>
        <sz val="10"/>
        <color indexed="8"/>
        <rFont val="Arial"/>
        <family val="2"/>
      </rPr>
      <t xml:space="preserve"> Caaitba </t>
    </r>
    <r>
      <rPr>
        <b/>
        <sz val="10"/>
        <color indexed="8"/>
        <rFont val="Arial"/>
        <family val="2"/>
      </rPr>
      <t>376</t>
    </r>
  </si>
  <si>
    <t>ORIGINARIO</t>
  </si>
  <si>
    <t>Pago de derecho a cargo del comitente</t>
  </si>
  <si>
    <t>P/D y D. E.   1</t>
  </si>
  <si>
    <t>Proy.      2</t>
  </si>
  <si>
    <t>Medicion    3</t>
  </si>
  <si>
    <t>Inf. Tec.      4</t>
  </si>
  <si>
    <t>Insp. Y Ens.     5</t>
  </si>
  <si>
    <t>Repres. Tec.     6</t>
  </si>
  <si>
    <t>Inspeccion y Ensayo Electrom.</t>
  </si>
  <si>
    <t>DETERMINACION DE MINIMOS</t>
  </si>
  <si>
    <t>H.C.</t>
  </si>
  <si>
    <t>Med.</t>
  </si>
  <si>
    <t>Inf. Tec.</t>
  </si>
  <si>
    <t>Minimos por la tarea de informe Tecnico</t>
  </si>
  <si>
    <t>Proy.</t>
  </si>
  <si>
    <t xml:space="preserve"> =+SI(H19&gt;0;H19;H29)</t>
  </si>
  <si>
    <t xml:space="preserve"> =SI(Y(H36+H45&gt;0;H36&lt;1316);1316;SI(H36&gt;1316;H36;0))</t>
  </si>
  <si>
    <t xml:space="preserve"> =SI(Y(H45&gt;0;H45&lt;1316);1316;SI(H45&gt;1316;H45;0))</t>
  </si>
  <si>
    <t xml:space="preserve"> =SI(Y(H53&gt;0;H53&lt;822);822;SI(H53&gt;822;H53;0))</t>
  </si>
  <si>
    <t xml:space="preserve"> =SI((H36+H45)&lt;1316;1316;H36+H45+L103+H64+H81+L100)</t>
  </si>
  <si>
    <t xml:space="preserve">Minimos por tarea medicion </t>
  </si>
  <si>
    <t>Minimos de Tareas</t>
  </si>
  <si>
    <t>Cualquier Tarea</t>
  </si>
  <si>
    <t>Proy. Ó Proy. Y Direc.</t>
  </si>
  <si>
    <t>PROYECTO</t>
  </si>
  <si>
    <t>PROYECTO y DIRECCION</t>
  </si>
  <si>
    <t>PROYECTO/DIRECCION y DIREC. Por Cont. Separados</t>
  </si>
  <si>
    <t>INSPECCION y ENSAYO</t>
  </si>
  <si>
    <t>REPRESENTACION TECNICA</t>
  </si>
  <si>
    <t>HABILITACION DE ASCENSORES</t>
  </si>
  <si>
    <t>MEDICION</t>
  </si>
  <si>
    <t>INFORME TECNICO</t>
  </si>
  <si>
    <t>INSPECCION y ENSAYO de ____ JABALINA/S DE PUESTA A TIERRA</t>
  </si>
  <si>
    <t>INSPECCION y ENSAYO de C.A.I.E.</t>
  </si>
  <si>
    <t>TAREAS PROFESIONALES</t>
  </si>
  <si>
    <t>MEDICION e INFORME TECNICO</t>
  </si>
  <si>
    <t>PROYECTO/DIRECCION y MEDICION</t>
  </si>
  <si>
    <t xml:space="preserve"> ----------------------------------------</t>
  </si>
  <si>
    <t xml:space="preserve"> ----------------------------------------------</t>
  </si>
  <si>
    <r>
      <t>___</t>
    </r>
    <r>
      <rPr>
        <b/>
        <sz val="18"/>
        <color indexed="8"/>
        <rFont val="Arial"/>
        <family val="2"/>
      </rPr>
      <t>(</t>
    </r>
  </si>
  <si>
    <t>VISADO Nº</t>
  </si>
  <si>
    <t xml:space="preserve">Dom. Legal </t>
  </si>
  <si>
    <t>Dom. real en</t>
  </si>
  <si>
    <t>Nom. Catastral :</t>
  </si>
  <si>
    <t xml:space="preserve"> %  s/los sigtes.</t>
  </si>
  <si>
    <t>100% de la Direccion</t>
  </si>
  <si>
    <t>no</t>
  </si>
  <si>
    <t xml:space="preserve">COLEGIO DE TECNICOS DE LA </t>
  </si>
  <si>
    <t>PROVINCIA DE BUENOS AIRES</t>
  </si>
  <si>
    <t xml:space="preserve">CONTRATACION OBLIGATORIA </t>
  </si>
  <si>
    <t>DE TAREAS PROFESIONALES</t>
  </si>
  <si>
    <t>LEY 10411</t>
  </si>
  <si>
    <r>
      <t xml:space="preserve">en adelante el </t>
    </r>
    <r>
      <rPr>
        <b/>
        <sz val="10"/>
        <color indexed="8"/>
        <rFont val="Arial"/>
        <family val="2"/>
      </rPr>
      <t>COMITENTE</t>
    </r>
    <r>
      <rPr>
        <sz val="10"/>
        <color indexed="8"/>
        <rFont val="Arial"/>
        <family val="2"/>
      </rPr>
      <t>, y</t>
    </r>
  </si>
  <si>
    <t>PROYECTO/DIRECCION y DIREC. EJECUTIVA</t>
  </si>
  <si>
    <r>
      <t xml:space="preserve">Artículo 1º: </t>
    </r>
    <r>
      <rPr>
        <sz val="10"/>
        <color indexed="8"/>
        <rFont val="Arial"/>
        <family val="2"/>
      </rPr>
      <t>El Comitente encomienda al Profesional la siguiente tarea:</t>
    </r>
  </si>
  <si>
    <t>, Matricula Col. de Tec.</t>
  </si>
  <si>
    <t xml:space="preserve"> Con domicilio real</t>
  </si>
  <si>
    <t xml:space="preserve"> en </t>
  </si>
  <si>
    <r>
      <t>el</t>
    </r>
    <r>
      <rPr>
        <b/>
        <sz val="10"/>
        <color indexed="8"/>
        <rFont val="Arial"/>
        <family val="2"/>
      </rPr>
      <t xml:space="preserve"> PROFESIONAL</t>
    </r>
    <r>
      <rPr>
        <b/>
        <sz val="8"/>
        <color indexed="8"/>
        <rFont val="Arial"/>
        <family val="2"/>
      </rPr>
      <t>,</t>
    </r>
    <r>
      <rPr>
        <sz val="8"/>
        <color indexed="8"/>
        <rFont val="Arial"/>
        <family val="2"/>
      </rPr>
      <t xml:space="preserve"> se conviene en celebrar  el siguiente contrato:</t>
    </r>
  </si>
  <si>
    <t>, y legal en</t>
  </si>
  <si>
    <t>, en adelante</t>
  </si>
  <si>
    <t>Frac/Cha/Qta</t>
  </si>
  <si>
    <t>UF/Piso</t>
  </si>
  <si>
    <r>
      <t xml:space="preserve">, </t>
    </r>
    <r>
      <rPr>
        <sz val="8"/>
        <color indexed="8"/>
        <rFont val="Arial"/>
        <family val="2"/>
      </rPr>
      <t>SECC.</t>
    </r>
  </si>
  <si>
    <r>
      <t xml:space="preserve">, </t>
    </r>
    <r>
      <rPr>
        <sz val="8"/>
        <color indexed="8"/>
        <rFont val="Arial"/>
        <family val="2"/>
      </rPr>
      <t>PARC.</t>
    </r>
  </si>
  <si>
    <r>
      <t xml:space="preserve">, </t>
    </r>
    <r>
      <rPr>
        <sz val="8"/>
        <color indexed="8"/>
        <rFont val="Arial"/>
        <family val="2"/>
      </rPr>
      <t>UF/Piso</t>
    </r>
  </si>
  <si>
    <r>
      <t xml:space="preserve">, </t>
    </r>
    <r>
      <rPr>
        <sz val="8"/>
        <color indexed="8"/>
        <rFont val="Arial"/>
        <family val="2"/>
      </rPr>
      <t>Frac/Cha/Qta</t>
    </r>
  </si>
  <si>
    <r>
      <t>,</t>
    </r>
    <r>
      <rPr>
        <sz val="8"/>
        <color indexed="8"/>
        <rFont val="Arial"/>
        <family val="2"/>
      </rPr>
      <t xml:space="preserve"> MANZ.</t>
    </r>
  </si>
  <si>
    <t xml:space="preserve">Artículo  3º: </t>
  </si>
  <si>
    <t xml:space="preserve">Articulo 2º : </t>
  </si>
  <si>
    <t>El honorario convenido por las tareas profesionales será de:</t>
  </si>
  <si>
    <t>).-</t>
  </si>
  <si>
    <t xml:space="preserve">                ratificarse o rectificarse las condiciones pactadas, no pudiendo ser el honorario inferior al minimo vigente en ese momento.</t>
  </si>
  <si>
    <r>
      <t xml:space="preserve">Artículo 5º: </t>
    </r>
    <r>
      <rPr>
        <sz val="10"/>
        <color indexed="8"/>
        <rFont val="Arial"/>
        <family val="2"/>
      </rPr>
      <t>EL COMITENTE abonara al PROFESIONAL sus honorarios coforme a la siguiente forma de pago:</t>
    </r>
  </si>
  <si>
    <t xml:space="preserve">                  pudiendo optar en: actualizar los mismos, o dar por terminados los plazos establecidos y cobrar el saldo total de lo que se</t>
  </si>
  <si>
    <t xml:space="preserve"> le adeudare, o rescindir el presente contrato quedando las suma  abonadas en concepto de indemnización.-</t>
  </si>
  <si>
    <t>la Ley 12.490 (Art.26 inc.b).-</t>
  </si>
  <si>
    <t xml:space="preserve">Artículo 8º: </t>
  </si>
  <si>
    <t>El Comitente tiene obligación de comunicar en forma fehaciente la iniciación y/o paralización de obra al Profesional.-</t>
  </si>
  <si>
    <t>Artículo 9º:</t>
  </si>
  <si>
    <t xml:space="preserve">El  COMITENTE y el  PROFESIONAL, autorizan al Colegio de técnicos de la Provincia de Buenos Aires, a inspeccionar la obra a los fines </t>
  </si>
  <si>
    <t xml:space="preserve">Artículo 7º: </t>
  </si>
  <si>
    <t>Con cada   percepción  de  honorarios, el  profesional   deberá  efectuar   los  Aportes  Previsionales que obliga</t>
  </si>
  <si>
    <t xml:space="preserve">Artículo 6º: </t>
  </si>
  <si>
    <t xml:space="preserve">Cuando el PROFESIONAL no perciba sus honorarios en los plazos estipulados, se producirá la mora de pleno derecho  </t>
  </si>
  <si>
    <t xml:space="preserve">de verificar los estados de obra declarando, como así mismo serán de aplicación todas las disposiciones previstas en el </t>
  </si>
  <si>
    <t>Arancel aprobado por Decreto 6.964/95 ó sus modificatorios, siendo a cargo del COMITENTE los gastos extraordinarios</t>
  </si>
  <si>
    <t xml:space="preserve"> previstos en el Art. 11º del Título I del mismo.</t>
  </si>
  <si>
    <t xml:space="preserve">Artículo 10º: </t>
  </si>
  <si>
    <t xml:space="preserve">Cláusulas y condiciones especiales y observaciones:  </t>
  </si>
  <si>
    <t xml:space="preserve">Artículo 11º: </t>
  </si>
  <si>
    <t>estipulado que el rol profesional  no trae aparejado el cumplimiento del rol empresario.-</t>
  </si>
  <si>
    <r>
      <t xml:space="preserve">El </t>
    </r>
    <r>
      <rPr>
        <b/>
        <sz val="9"/>
        <rFont val="Times New Roman"/>
        <family val="1"/>
      </rPr>
      <t xml:space="preserve">comitente </t>
    </r>
    <r>
      <rPr>
        <sz val="9"/>
        <rFont val="Times New Roman"/>
        <family val="1"/>
      </rPr>
      <t xml:space="preserve">toma a su exclusivo cargo la ejecución de la obra como empresario por </t>
    </r>
    <r>
      <rPr>
        <b/>
        <sz val="9"/>
        <rFont val="Times New Roman"/>
        <family val="1"/>
      </rPr>
      <t>administración</t>
    </r>
    <r>
      <rPr>
        <sz val="9"/>
        <rFont val="Times New Roman"/>
        <family val="1"/>
      </rPr>
      <t xml:space="preserve">.- Queda específicamente </t>
    </r>
  </si>
  <si>
    <t xml:space="preserve">Artículo 12º: </t>
  </si>
  <si>
    <t xml:space="preserve">En virtud de  lo establecido en el artículo anterior es de exclusiva responsabilidad del Comitente, en su rol de empresario la contratación </t>
  </si>
  <si>
    <t xml:space="preserve">de todo el personal, en forma directa o por medio de empresas contratistas y/o subcontratistas para la ejecución de </t>
  </si>
  <si>
    <t>obra, en consecuencia, dentro de las obligaciones asumidas por el profesional técnico  quedan expresamente excluidas</t>
  </si>
  <si>
    <t xml:space="preserve"> y no comprendidas dentro de las obligaciones asumidas:</t>
  </si>
  <si>
    <t>B.-    El Profesional no tendrá responsabilidad laboral alguna en relación con contratistas y/o subcontratistas y personal dependiente.-------------</t>
  </si>
  <si>
    <t>A.-  La contratación del personal obrero de la construcción (Ley 22250)  corre por cuenta exclusiva del comitente , ya se trate de contratación directa o a través de contratistas</t>
  </si>
  <si>
    <t>obligacion cumplir con todas las normas vigentes.-----------------------------------------------------</t>
  </si>
  <si>
    <t xml:space="preserve"> y/o subcontratistas.- El personal que trabaje en la construcción dependerá exclusivamente del comitente quien deberá responder por ellos y ante ellos, siendo su  </t>
  </si>
  <si>
    <t xml:space="preserve">C.-   El Comitente  será responsable exclusivo de los accidentes y/o enfermedades profesionales  que pudieren sufrir los trabajadores, quedando a su cargo la contratación </t>
  </si>
  <si>
    <t>de los seguros respectivos.--------------------------------------------------------------------------------------------------------------------------</t>
  </si>
  <si>
    <t>D.-    El Comitente y/o persona con quien contrate, deberá dar estricto cumplimiento a la normativa laboral y de la seguridad-------------------------</t>
  </si>
  <si>
    <t>E.-   Cualquier daño provocado a terceros por contratistas, subcontratistas y/o personal dependiente y/o cosas existentes en la obra, quedan bajo exclusiva responsabilidad</t>
  </si>
  <si>
    <t xml:space="preserve"> del Comitente, quedando eximido el Profesional de toda responsabilidad.------------------------------------------------------- </t>
  </si>
  <si>
    <t xml:space="preserve">Artículo 13º: </t>
  </si>
  <si>
    <t>Este contrato se firma en ( 5 ) ( cinco ) ejemplares (mínimo 5) de igual tenor y a un solo efecto con carácter de (*)</t>
  </si>
  <si>
    <t xml:space="preserve">(*) </t>
  </si>
  <si>
    <t xml:space="preserve">Artículo 14º: </t>
  </si>
  <si>
    <t xml:space="preserve">Para todos los efectos legales emergentes del presente Contrato, las partes constituyen domicilio legal en los arriba indicados y se </t>
  </si>
  <si>
    <t>someten a la jurisdicción de los tribunales ordinarios de</t>
  </si>
  <si>
    <t>, renunciando a todo otro fuero o jurisdicción.-</t>
  </si>
  <si>
    <t>Por las tares detalladas en el articulo anterior, el COMITENTE abonará al PROFESIONAL el honorario convenido en el Art.3º.</t>
  </si>
  <si>
    <t>CUIL/CUIT</t>
  </si>
  <si>
    <t>CUIT   :</t>
  </si>
  <si>
    <t>CUIT DEL PROFESIONAL</t>
  </si>
  <si>
    <t>CUIT</t>
  </si>
  <si>
    <t>a) Proyecto y Dirección Cat. 3º S/tabla XVII</t>
  </si>
  <si>
    <r>
      <t xml:space="preserve">Valor por </t>
    </r>
    <r>
      <rPr>
        <b/>
        <sz val="10"/>
        <color indexed="8"/>
        <rFont val="Arial"/>
        <family val="2"/>
      </rPr>
      <t>PROYECTO / DIREC./DIREC.y DIREC. EJECUTIVA</t>
    </r>
  </si>
  <si>
    <t>BG</t>
  </si>
  <si>
    <t>Sup.Por Direc.Ejecutiva 200% de  d-2</t>
  </si>
  <si>
    <t xml:space="preserve">                                                                                                                                      </t>
  </si>
  <si>
    <t xml:space="preserve">Honorario convenido   (monto del contrato)     </t>
  </si>
  <si>
    <t>Honorario base ( H /FC )  ____________  (Ho)</t>
  </si>
  <si>
    <t xml:space="preserve">, destinada a </t>
  </si>
  <si>
    <t xml:space="preserve">, del bien ubicado en la calle </t>
  </si>
  <si>
    <t>TIPO DE OBRA</t>
  </si>
  <si>
    <t>VIVIENDA UNIFAMILIAR</t>
  </si>
  <si>
    <t>VIVIENDA MULTIFAMILIAR</t>
  </si>
  <si>
    <t>VIVIENDA COLECTIVA</t>
  </si>
  <si>
    <t xml:space="preserve">COMERCIO </t>
  </si>
  <si>
    <t xml:space="preserve">INDUSTRIA </t>
  </si>
  <si>
    <t>RED DE GAS</t>
  </si>
  <si>
    <t xml:space="preserve">INSTALACION DE GAS NATURAL </t>
  </si>
  <si>
    <t>-</t>
  </si>
  <si>
    <t>Y</t>
  </si>
  <si>
    <t>PARA LA OBRA SITA EN</t>
  </si>
  <si>
    <t xml:space="preserve">DE </t>
  </si>
  <si>
    <t>DE FECHA DEL CONTRATO</t>
  </si>
  <si>
    <t>de la Localidad de</t>
  </si>
  <si>
    <t>B)  Descomposición de Honorario</t>
  </si>
  <si>
    <t>Factor de corrección a la fecha:_________________FC</t>
  </si>
  <si>
    <t>Vi =</t>
  </si>
  <si>
    <t>b-1) Proy.</t>
  </si>
  <si>
    <t>b-2) Direc.</t>
  </si>
  <si>
    <r>
      <t xml:space="preserve">b-3) </t>
    </r>
    <r>
      <rPr>
        <sz val="9"/>
        <color indexed="8"/>
        <rFont val="Arial"/>
        <family val="2"/>
      </rPr>
      <t>Supl. Por Direccion Ejecutiva 200% de (b-2)</t>
    </r>
  </si>
  <si>
    <t>Honorario Total s/DEC. 6964/65 (I + II + III)</t>
  </si>
  <si>
    <t xml:space="preserve">$ </t>
  </si>
  <si>
    <t xml:space="preserve"> $ </t>
  </si>
  <si>
    <t>Son Pesos :</t>
  </si>
  <si>
    <r>
      <t xml:space="preserve">APORTE TOTAL 10%. </t>
    </r>
    <r>
      <rPr>
        <b/>
        <sz val="12"/>
        <rFont val="Times New Roman"/>
        <family val="1"/>
      </rPr>
      <t>$</t>
    </r>
  </si>
  <si>
    <t>NUMERO</t>
  </si>
  <si>
    <t>CALLE  DE LA TAREA A REALIZAR</t>
  </si>
  <si>
    <t xml:space="preserve">Partido de   </t>
  </si>
  <si>
    <r>
      <t xml:space="preserve">bocas </t>
    </r>
    <r>
      <rPr>
        <sz val="10"/>
        <color indexed="8"/>
        <rFont val="Arial"/>
        <family val="2"/>
      </rPr>
      <t>x</t>
    </r>
    <r>
      <rPr>
        <sz val="8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$</t>
    </r>
    <r>
      <rPr>
        <sz val="8"/>
        <color indexed="8"/>
        <rFont val="Arial"/>
        <family val="2"/>
      </rPr>
      <t xml:space="preserve">  </t>
    </r>
  </si>
  <si>
    <t xml:space="preserve"> = </t>
  </si>
  <si>
    <r>
      <t xml:space="preserve">, </t>
    </r>
    <r>
      <rPr>
        <sz val="8"/>
        <color indexed="8"/>
        <rFont val="Arial"/>
        <family val="2"/>
      </rPr>
      <t>Dto/s.</t>
    </r>
  </si>
  <si>
    <t>PARCIAL</t>
  </si>
  <si>
    <r>
      <t>PLANILLA ANEXA</t>
    </r>
    <r>
      <rPr>
        <sz val="8"/>
        <rFont val="Times New Roman"/>
        <family val="1"/>
      </rPr>
      <t xml:space="preserve"> AL CONTRATO  DE INSTALACION DE GAS ENTRE </t>
    </r>
  </si>
  <si>
    <r>
      <t xml:space="preserve">CANTIDAD DE BOCAS QUE TIENE QUE LA INSTALACION SEGÚN FORMULARIO/S  </t>
    </r>
    <r>
      <rPr>
        <b/>
        <sz val="11"/>
        <rFont val="Times New Roman"/>
        <family val="1"/>
      </rPr>
      <t>3.5.</t>
    </r>
    <r>
      <rPr>
        <sz val="8"/>
        <rFont val="Times New Roman"/>
        <family val="1"/>
      </rPr>
      <t xml:space="preserve">  :</t>
    </r>
  </si>
  <si>
    <t>PRIMER PASO</t>
  </si>
  <si>
    <t>IR A LA LENGÜETA INGRESO DE DATOS</t>
  </si>
  <si>
    <t>SEGUNDO PASO</t>
  </si>
  <si>
    <t xml:space="preserve">UD. DEBE LLENAR LOS CASILLEROS EN VERDE </t>
  </si>
  <si>
    <t>COLOQUE LA CANTIDAD DE BOCAS SEGÚN LA TAREA A REALIZAR</t>
  </si>
  <si>
    <t>SE NECESITAN COMO MINIMO 5 COPIAS</t>
  </si>
  <si>
    <t>LAS FIRMAS EN TODAS LAS COPIAS DEL CONTRATO DEBEN ESTAR EN ORIGINAL</t>
  </si>
  <si>
    <t>#</t>
  </si>
  <si>
    <t>en tipo de obra hay una lengüeta para elegir</t>
  </si>
  <si>
    <t>la FORMA DE PAGO PUEDE SER CAMBIADA POR UD</t>
  </si>
  <si>
    <t>TERCER PASO</t>
  </si>
  <si>
    <t>HONORARIO CONVENIDO POR TAREAS DE GAS</t>
  </si>
  <si>
    <t>MINIMO POR LA TAREA HA REALIZAR DE GAS</t>
  </si>
  <si>
    <t>COMERCIO</t>
  </si>
  <si>
    <t>INDUSTRIA</t>
  </si>
  <si>
    <t xml:space="preserve">EL PLAZO DE VIGENCIA DEL CONTRATO PUEDE SER CAMBIADA  </t>
  </si>
  <si>
    <t>CUARTO  PASO</t>
  </si>
  <si>
    <t>*EL EXCEL DETERMINA EL HONORARIO MINIMO A PERCIBIR</t>
  </si>
  <si>
    <t xml:space="preserve">UD PUEDE PONER UN HONORARIO MAYOR </t>
  </si>
  <si>
    <r>
      <t xml:space="preserve">UD LO VERA EN </t>
    </r>
    <r>
      <rPr>
        <b/>
        <sz val="10"/>
        <rFont val="Tahoma"/>
        <family val="2"/>
      </rPr>
      <t>MINIMO POR LA TAREA HA REALIZAR DE GAS</t>
    </r>
  </si>
  <si>
    <r>
      <t xml:space="preserve">EN LA CELDA VERDE DE </t>
    </r>
    <r>
      <rPr>
        <b/>
        <sz val="10"/>
        <rFont val="Tahoma"/>
        <family val="2"/>
      </rPr>
      <t>HONORARIO CONVENIDO POR TAREAS DE GAS  $ NUMERO</t>
    </r>
  </si>
  <si>
    <r>
      <t xml:space="preserve">ESE MISMO MONTO SE VERA EN LETRAS EN </t>
    </r>
    <r>
      <rPr>
        <b/>
        <sz val="10"/>
        <rFont val="Tahoma"/>
        <family val="2"/>
      </rPr>
      <t>PESOS con 00/100Cvos.-</t>
    </r>
  </si>
  <si>
    <t>VAYA A LA LENGÜETA CONTRATO PROFESIONAL  - IMPRIMALO</t>
  </si>
  <si>
    <r>
      <t>DEBE REEMPLAZAR CADA</t>
    </r>
    <r>
      <rPr>
        <b/>
        <sz val="10"/>
        <rFont val="Tahoma"/>
        <family val="2"/>
      </rPr>
      <t xml:space="preserve"> # (numeral) </t>
    </r>
    <r>
      <rPr>
        <sz val="10"/>
        <rFont val="Tahoma"/>
        <family val="2"/>
      </rPr>
      <t xml:space="preserve"> POR LOS DATOS CONCRETOS</t>
    </r>
  </si>
  <si>
    <t>CONTRATOS TAREAS DE GAS</t>
  </si>
  <si>
    <t xml:space="preserve">SI NO LO DICE Y NO CAMBIA EL VALOR EN LETRAS DEL HONORARIO HABILITE LOS MACROS </t>
  </si>
  <si>
    <r>
      <t>AL ABRIR EL EXCEL, UN CARTEL LE PUEDE DECIR: DESEA HABILITAR LOS MACROS, PONGA QUE</t>
    </r>
    <r>
      <rPr>
        <b/>
        <sz val="10"/>
        <rFont val="Tahoma"/>
        <family val="2"/>
      </rPr>
      <t xml:space="preserve"> SI</t>
    </r>
  </si>
  <si>
    <t xml:space="preserve">*UD PUEDE ESTABLECER UN HONORARIO MAYOR </t>
  </si>
  <si>
    <t>Si pone un honorario menor, quedara el minimo determinado por el programa</t>
  </si>
  <si>
    <r>
      <t xml:space="preserve">*UD VERA EL HONORARIO EN NUMEROS EN: </t>
    </r>
    <r>
      <rPr>
        <b/>
        <sz val="10"/>
        <rFont val="Tahoma"/>
        <family val="2"/>
      </rPr>
      <t>SE CONSIGNA EL MONTO DEL HONORARIO EN PESOS</t>
    </r>
  </si>
  <si>
    <t>La impresión de los contratos está para hojas tamaño A4</t>
  </si>
  <si>
    <t>REP. TECNICA</t>
  </si>
  <si>
    <t>Minimos por la tarea de Represntacion Tecnica</t>
  </si>
  <si>
    <t>Domicilio :</t>
  </si>
  <si>
    <r>
      <t>ª</t>
    </r>
    <r>
      <rPr>
        <sz val="14"/>
        <color indexed="8"/>
        <rFont val="Arial"/>
        <family val="2"/>
      </rPr>
      <t xml:space="preserve">   Categoria</t>
    </r>
  </si>
  <si>
    <t>D) REPRESENTANTE TECNICO</t>
  </si>
  <si>
    <t>C) INFORME TECNICO</t>
  </si>
  <si>
    <t>TOTAL (D-1)</t>
  </si>
  <si>
    <t>+</t>
  </si>
  <si>
    <t>(CP)</t>
  </si>
  <si>
    <t>COMPUTO PRESUPUESTO</t>
  </si>
  <si>
    <t>Minimo por Proyecto Direccion y Direccion Ejecutiva</t>
  </si>
  <si>
    <t xml:space="preserve">Informe Tec. </t>
  </si>
  <si>
    <t>R-115U</t>
  </si>
  <si>
    <t>Datos del Contribuyente</t>
  </si>
  <si>
    <t>Apellido / Razon Social</t>
  </si>
  <si>
    <t>CUIT / CUIL / CDI</t>
  </si>
  <si>
    <t>Domicilio Fiscal</t>
  </si>
  <si>
    <t>Calle</t>
  </si>
  <si>
    <t>Número</t>
  </si>
  <si>
    <t>S/N</t>
  </si>
  <si>
    <t>Ruta</t>
  </si>
  <si>
    <t>Km</t>
  </si>
  <si>
    <t>Torre</t>
  </si>
  <si>
    <t>Piso</t>
  </si>
  <si>
    <t>Dpto</t>
  </si>
  <si>
    <t>Manzana</t>
  </si>
  <si>
    <t>Provincia</t>
  </si>
  <si>
    <t>BS. AS.</t>
  </si>
  <si>
    <t>C.Postal</t>
  </si>
  <si>
    <t>Partido</t>
  </si>
  <si>
    <t>Localidad</t>
  </si>
  <si>
    <t>Telefono</t>
  </si>
  <si>
    <t>Fax</t>
  </si>
  <si>
    <t>E-mail</t>
  </si>
  <si>
    <t>Observaciones</t>
  </si>
  <si>
    <t>Ubicación de la Producción, Bien o Servicio</t>
  </si>
  <si>
    <t xml:space="preserve">El que suscribe </t>
  </si>
  <si>
    <t>, con DNI nº</t>
  </si>
  <si>
    <t xml:space="preserve">ne su carácter de </t>
  </si>
  <si>
    <t>Profesional</t>
  </si>
  <si>
    <t>declara que</t>
  </si>
  <si>
    <t xml:space="preserve">los datos consignados en este documento son correctos y </t>
  </si>
  <si>
    <t>completos, y que esta declaracion se ha confeccionado sin</t>
  </si>
  <si>
    <r>
      <t xml:space="preserve">cionado sin omitir ni falcear dato alguno que deba contener, </t>
    </r>
    <r>
      <rPr>
        <sz val="10"/>
        <rFont val="Arial"/>
        <family val="2"/>
      </rPr>
      <t xml:space="preserve"> </t>
    </r>
  </si>
  <si>
    <t>siendo fiel expresion de la expresion de la verdad.</t>
  </si>
  <si>
    <t>Firma</t>
  </si>
  <si>
    <r>
      <t xml:space="preserve">                                                                                 El presente formulario se emite en 2 ejemplares - Normativa: </t>
    </r>
    <r>
      <rPr>
        <b/>
        <sz val="8"/>
        <color indexed="10"/>
        <rFont val="Arial"/>
        <family val="2"/>
      </rPr>
      <t>DN B 05-07</t>
    </r>
  </si>
  <si>
    <t>DOMICILIO REAL DEL COMITENTE ( CALLE )</t>
  </si>
  <si>
    <t>NUMERO Nº</t>
  </si>
  <si>
    <t>CODIGO POSTAL ( C.P. )</t>
  </si>
  <si>
    <t>PARTIDO</t>
  </si>
  <si>
    <t>Dto./Dtos.</t>
  </si>
  <si>
    <r>
      <t xml:space="preserve">PARA ELIMINAR EL </t>
    </r>
    <r>
      <rPr>
        <b/>
        <sz val="16"/>
        <color indexed="10"/>
        <rFont val="Arial"/>
        <family val="2"/>
      </rPr>
      <t>ERROR</t>
    </r>
    <r>
      <rPr>
        <b/>
        <sz val="10"/>
        <color indexed="10"/>
        <rFont val="Arial"/>
        <family val="2"/>
      </rPr>
      <t xml:space="preserve">  SE DEBE CARGAR LA   </t>
    </r>
    <r>
      <rPr>
        <b/>
        <sz val="16"/>
        <color indexed="10"/>
        <rFont val="Arial"/>
        <family val="2"/>
      </rPr>
      <t>CATEGORIA</t>
    </r>
    <r>
      <rPr>
        <b/>
        <sz val="18"/>
        <color indexed="10"/>
        <rFont val="Arial"/>
        <family val="2"/>
      </rPr>
      <t xml:space="preserve"> -   </t>
    </r>
    <r>
      <rPr>
        <b/>
        <sz val="14"/>
        <color indexed="10"/>
        <rFont val="Arial"/>
        <family val="2"/>
      </rPr>
      <t>5º</t>
    </r>
    <r>
      <rPr>
        <b/>
        <sz val="10"/>
        <color indexed="10"/>
        <rFont val="Arial"/>
        <family val="2"/>
      </rPr>
      <t xml:space="preserve"> para INDUSTRIA  -   </t>
    </r>
    <r>
      <rPr>
        <b/>
        <sz val="14"/>
        <color indexed="10"/>
        <rFont val="Arial"/>
        <family val="2"/>
      </rPr>
      <t xml:space="preserve">3º </t>
    </r>
    <r>
      <rPr>
        <b/>
        <sz val="10"/>
        <color indexed="10"/>
        <rFont val="Arial"/>
        <family val="2"/>
      </rPr>
      <t>para LOCAL O VIVIENDA</t>
    </r>
  </si>
  <si>
    <t>CATEGORIA</t>
  </si>
  <si>
    <t>3º</t>
  </si>
  <si>
    <t>5º</t>
  </si>
</sst>
</file>

<file path=xl/styles.xml><?xml version="1.0" encoding="utf-8"?>
<styleSheet xmlns="http://schemas.openxmlformats.org/spreadsheetml/2006/main">
  <numFmts count="5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General_)"/>
    <numFmt numFmtId="185" formatCode="&quot;$&quot;\ 0"/>
    <numFmt numFmtId="186" formatCode="_ &quot;$&quot;\ * #,##0_ ;_ &quot;$&quot;\ * \-#,##0_ ;_ &quot;$&quot;\ * &quot;-&quot;??_ ;_ @_ "/>
    <numFmt numFmtId="187" formatCode="&quot;$&quot;\ #,##0"/>
    <numFmt numFmtId="188" formatCode="0.0"/>
    <numFmt numFmtId="189" formatCode="0.0%"/>
    <numFmt numFmtId="190" formatCode="0.00;[Red]0.00"/>
    <numFmt numFmtId="191" formatCode="&quot;$&quot;\ #,##0;[Red]&quot;$&quot;\ #,##0"/>
    <numFmt numFmtId="192" formatCode="0.0000"/>
    <numFmt numFmtId="193" formatCode="0.000"/>
    <numFmt numFmtId="194" formatCode="&quot;$&quot;\ #,##0.00"/>
    <numFmt numFmtId="195" formatCode="&quot;$&quot;\ #,##0.0;[Red]&quot;$&quot;\ \-#,##0.0"/>
    <numFmt numFmtId="196" formatCode="&quot;$&quot;\ #,##0.000"/>
    <numFmt numFmtId="197" formatCode="&quot;$&quot;\ #,##0.0"/>
    <numFmt numFmtId="198" formatCode="[$-2C0A]dddd\,\ dd&quot; de &quot;mmmm&quot; de &quot;yyyy"/>
    <numFmt numFmtId="199" formatCode="[$-2C0A]hh:mm:ss\ AM/PM"/>
    <numFmt numFmtId="200" formatCode="\ª"/>
    <numFmt numFmtId="201" formatCode="0.00000"/>
    <numFmt numFmtId="202" formatCode="0.000000"/>
    <numFmt numFmtId="203" formatCode="_ [$€-2]\ * #,##0.00_ ;_ [$€-2]\ * \-#,##0.00_ ;_ [$€-2]\ * &quot;-&quot;??_ "/>
    <numFmt numFmtId="204" formatCode="[$$-2C0A]\ #,##0.00;[Red][$$-2C0A]\ #,##0.00"/>
    <numFmt numFmtId="205" formatCode="_ &quot;$&quot;\ * #,##0.0_ ;_ &quot;$&quot;\ * \-#,##0.0_ ;_ &quot;$&quot;\ * &quot;-&quot;??_ ;_ @_ "/>
    <numFmt numFmtId="206" formatCode="&quot;$&quot;\ #,##0.00;[Red]&quot;$&quot;\ #,##0.00"/>
    <numFmt numFmtId="207" formatCode="#,##0.00;[Red]#,##0.00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[$$-2C0A]\ #,##0.00"/>
    <numFmt numFmtId="213" formatCode="[$$-2C0A]\ #,##0"/>
  </numFmts>
  <fonts count="111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12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u val="single"/>
      <sz val="8"/>
      <color indexed="8"/>
      <name val="Arial"/>
      <family val="2"/>
    </font>
    <font>
      <sz val="8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8"/>
      <name val="Franklin Gothic Medium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i/>
      <sz val="9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name val="Tahoma"/>
      <family val="2"/>
    </font>
    <font>
      <sz val="13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13"/>
      <name val="Arial"/>
      <family val="2"/>
    </font>
    <font>
      <sz val="22"/>
      <name val="Arial"/>
      <family val="2"/>
    </font>
    <font>
      <sz val="18"/>
      <color indexed="8"/>
      <name val="Arial"/>
      <family val="2"/>
    </font>
    <font>
      <sz val="20"/>
      <color indexed="8"/>
      <name val="Arial"/>
      <family val="2"/>
    </font>
    <font>
      <b/>
      <i/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Times New Roman"/>
      <family val="1"/>
    </font>
    <font>
      <b/>
      <i/>
      <sz val="10"/>
      <color indexed="8"/>
      <name val="Baskerville Old Face"/>
      <family val="1"/>
    </font>
    <font>
      <b/>
      <i/>
      <sz val="11"/>
      <color indexed="8"/>
      <name val="Baskerville Old Face"/>
      <family val="1"/>
    </font>
    <font>
      <b/>
      <i/>
      <sz val="9"/>
      <color indexed="8"/>
      <name val="Baskerville Old Face"/>
      <family val="1"/>
    </font>
    <font>
      <b/>
      <i/>
      <sz val="12"/>
      <color indexed="8"/>
      <name val="Baskerville Old Face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b/>
      <sz val="10"/>
      <name val="Tahoma"/>
      <family val="2"/>
    </font>
    <font>
      <sz val="16"/>
      <color indexed="8"/>
      <name val="Arial"/>
      <family val="2"/>
    </font>
    <font>
      <sz val="16"/>
      <name val="Arial"/>
      <family val="2"/>
    </font>
    <font>
      <b/>
      <sz val="12"/>
      <name val="Tahoma"/>
      <family val="2"/>
    </font>
    <font>
      <b/>
      <u val="single"/>
      <sz val="10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b/>
      <i/>
      <sz val="18"/>
      <name val="Arial"/>
      <family val="2"/>
    </font>
    <font>
      <u val="single"/>
      <sz val="10"/>
      <name val="Arial"/>
      <family val="2"/>
    </font>
    <font>
      <sz val="18"/>
      <color indexed="1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>
        <color indexed="47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/>
      <right/>
      <top style="thick"/>
      <bottom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>
        <color indexed="47"/>
      </left>
      <right>
        <color indexed="63"/>
      </right>
      <top style="medium">
        <color indexed="47"/>
      </top>
      <bottom>
        <color indexed="63"/>
      </bottom>
    </border>
    <border>
      <left>
        <color indexed="63"/>
      </left>
      <right style="medium">
        <color indexed="47"/>
      </right>
      <top style="medium">
        <color indexed="47"/>
      </top>
      <bottom>
        <color indexed="63"/>
      </bottom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0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20" borderId="1" applyNumberFormat="0" applyAlignment="0" applyProtection="0"/>
    <xf numFmtId="0" fontId="98" fillId="21" borderId="2" applyNumberFormat="0" applyAlignment="0" applyProtection="0"/>
    <xf numFmtId="0" fontId="99" fillId="0" borderId="3" applyNumberFormat="0" applyFill="0" applyAlignment="0" applyProtection="0"/>
    <xf numFmtId="0" fontId="100" fillId="0" borderId="0" applyNumberFormat="0" applyFill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95" fillId="27" borderId="0" applyNumberFormat="0" applyBorder="0" applyAlignment="0" applyProtection="0"/>
    <xf numFmtId="0" fontId="101" fillId="28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2" fillId="29" borderId="0" applyNumberFormat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03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ont="0" applyFill="0" applyBorder="0" applyAlignment="0" applyProtection="0"/>
    <xf numFmtId="0" fontId="104" fillId="20" borderId="5" applyNumberFormat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100" fillId="0" borderId="8" applyNumberFormat="0" applyFill="0" applyAlignment="0" applyProtection="0"/>
    <xf numFmtId="0" fontId="110" fillId="0" borderId="9" applyNumberFormat="0" applyFill="0" applyAlignment="0" applyProtection="0"/>
  </cellStyleXfs>
  <cellXfs count="593">
    <xf numFmtId="0" fontId="0" fillId="0" borderId="0" xfId="0" applyAlignment="1">
      <alignment/>
    </xf>
    <xf numFmtId="0" fontId="12" fillId="0" borderId="0" xfId="0" applyFont="1" applyAlignment="1" applyProtection="1">
      <alignment/>
      <protection hidden="1"/>
    </xf>
    <xf numFmtId="2" fontId="4" fillId="0" borderId="0" xfId="0" applyNumberFormat="1" applyFont="1" applyAlignment="1" applyProtection="1">
      <alignment horizontal="right"/>
      <protection hidden="1"/>
    </xf>
    <xf numFmtId="2" fontId="4" fillId="0" borderId="0" xfId="0" applyNumberFormat="1" applyFont="1" applyAlignment="1" applyProtection="1">
      <alignment/>
      <protection hidden="1"/>
    </xf>
    <xf numFmtId="2" fontId="8" fillId="0" borderId="0" xfId="0" applyNumberFormat="1" applyFont="1" applyAlignment="1" applyProtection="1">
      <alignment horizontal="right"/>
      <protection hidden="1"/>
    </xf>
    <xf numFmtId="2" fontId="8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9" fillId="0" borderId="10" xfId="0" applyFont="1" applyBorder="1" applyAlignment="1" applyProtection="1">
      <alignment/>
      <protection hidden="1"/>
    </xf>
    <xf numFmtId="0" fontId="9" fillId="0" borderId="11" xfId="0" applyFont="1" applyBorder="1" applyAlignment="1" applyProtection="1">
      <alignment/>
      <protection hidden="1"/>
    </xf>
    <xf numFmtId="0" fontId="9" fillId="0" borderId="12" xfId="0" applyFont="1" applyBorder="1" applyAlignment="1" applyProtection="1">
      <alignment/>
      <protection hidden="1"/>
    </xf>
    <xf numFmtId="0" fontId="9" fillId="0" borderId="13" xfId="0" applyFont="1" applyBorder="1" applyAlignment="1" applyProtection="1">
      <alignment/>
      <protection hidden="1"/>
    </xf>
    <xf numFmtId="0" fontId="9" fillId="0" borderId="14" xfId="0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9" fillId="0" borderId="15" xfId="0" applyFont="1" applyBorder="1" applyAlignment="1" applyProtection="1">
      <alignment/>
      <protection hidden="1"/>
    </xf>
    <xf numFmtId="0" fontId="9" fillId="0" borderId="16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12" xfId="0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1" fontId="4" fillId="0" borderId="0" xfId="0" applyNumberFormat="1" applyFont="1" applyAlignment="1" applyProtection="1">
      <alignment/>
      <protection hidden="1"/>
    </xf>
    <xf numFmtId="0" fontId="4" fillId="0" borderId="16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2" fontId="6" fillId="0" borderId="0" xfId="0" applyNumberFormat="1" applyFont="1" applyAlignment="1" applyProtection="1">
      <alignment/>
      <protection hidden="1"/>
    </xf>
    <xf numFmtId="0" fontId="6" fillId="0" borderId="14" xfId="0" applyFont="1" applyBorder="1" applyAlignment="1" applyProtection="1">
      <alignment/>
      <protection hidden="1"/>
    </xf>
    <xf numFmtId="0" fontId="6" fillId="0" borderId="12" xfId="0" applyFont="1" applyBorder="1" applyAlignment="1" applyProtection="1">
      <alignment/>
      <protection hidden="1"/>
    </xf>
    <xf numFmtId="0" fontId="5" fillId="0" borderId="13" xfId="0" applyFont="1" applyBorder="1" applyAlignment="1" applyProtection="1">
      <alignment/>
      <protection hidden="1"/>
    </xf>
    <xf numFmtId="0" fontId="5" fillId="0" borderId="14" xfId="0" applyFont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left"/>
      <protection hidden="1"/>
    </xf>
    <xf numFmtId="1" fontId="6" fillId="0" borderId="0" xfId="0" applyNumberFormat="1" applyFont="1" applyAlignment="1" applyProtection="1">
      <alignment/>
      <protection hidden="1"/>
    </xf>
    <xf numFmtId="2" fontId="5" fillId="0" borderId="0" xfId="0" applyNumberFormat="1" applyFont="1" applyAlignment="1" applyProtection="1">
      <alignment horizontal="left"/>
      <protection hidden="1"/>
    </xf>
    <xf numFmtId="0" fontId="5" fillId="0" borderId="15" xfId="0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/>
      <protection hidden="1"/>
    </xf>
    <xf numFmtId="0" fontId="5" fillId="0" borderId="12" xfId="0" applyFont="1" applyBorder="1" applyAlignment="1" applyProtection="1">
      <alignment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/>
      <protection hidden="1"/>
    </xf>
    <xf numFmtId="2" fontId="5" fillId="0" borderId="0" xfId="0" applyNumberFormat="1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/>
      <protection hidden="1"/>
    </xf>
    <xf numFmtId="2" fontId="5" fillId="0" borderId="0" xfId="0" applyNumberFormat="1" applyFont="1" applyAlignment="1" applyProtection="1">
      <alignment/>
      <protection hidden="1"/>
    </xf>
    <xf numFmtId="188" fontId="5" fillId="0" borderId="0" xfId="0" applyNumberFormat="1" applyFont="1" applyAlignment="1" applyProtection="1">
      <alignment/>
      <protection hidden="1"/>
    </xf>
    <xf numFmtId="0" fontId="5" fillId="0" borderId="16" xfId="0" applyFont="1" applyBorder="1" applyAlignment="1" applyProtection="1">
      <alignment horizontal="center"/>
      <protection hidden="1"/>
    </xf>
    <xf numFmtId="0" fontId="6" fillId="0" borderId="13" xfId="0" applyFont="1" applyBorder="1" applyAlignment="1" applyProtection="1">
      <alignment/>
      <protection hidden="1"/>
    </xf>
    <xf numFmtId="0" fontId="5" fillId="0" borderId="13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/>
      <protection hidden="1"/>
    </xf>
    <xf numFmtId="0" fontId="6" fillId="0" borderId="11" xfId="0" applyFont="1" applyBorder="1" applyAlignment="1" applyProtection="1">
      <alignment/>
      <protection hidden="1"/>
    </xf>
    <xf numFmtId="0" fontId="6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2" fontId="8" fillId="0" borderId="0" xfId="0" applyNumberFormat="1" applyFont="1" applyAlignment="1" applyProtection="1">
      <alignment horizontal="left"/>
      <protection hidden="1"/>
    </xf>
    <xf numFmtId="0" fontId="8" fillId="0" borderId="10" xfId="0" applyFont="1" applyBorder="1" applyAlignment="1" applyProtection="1">
      <alignment/>
      <protection hidden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8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2" fontId="8" fillId="0" borderId="0" xfId="0" applyNumberFormat="1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/>
      <protection locked="0"/>
    </xf>
    <xf numFmtId="2" fontId="8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1" fontId="20" fillId="32" borderId="0" xfId="0" applyNumberFormat="1" applyFont="1" applyFill="1" applyAlignment="1" applyProtection="1">
      <alignment/>
      <protection hidden="1"/>
    </xf>
    <xf numFmtId="1" fontId="16" fillId="32" borderId="0" xfId="0" applyNumberFormat="1" applyFont="1" applyFill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9" fontId="5" fillId="0" borderId="0" xfId="0" applyNumberFormat="1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Border="1" applyAlignment="1" applyProtection="1">
      <alignment/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/>
      <protection hidden="1"/>
    </xf>
    <xf numFmtId="1" fontId="8" fillId="0" borderId="0" xfId="0" applyNumberFormat="1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/>
      <protection hidden="1"/>
    </xf>
    <xf numFmtId="1" fontId="6" fillId="0" borderId="0" xfId="0" applyNumberFormat="1" applyFont="1" applyBorder="1" applyAlignment="1" applyProtection="1">
      <alignment/>
      <protection hidden="1"/>
    </xf>
    <xf numFmtId="2" fontId="6" fillId="0" borderId="0" xfId="0" applyNumberFormat="1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center"/>
      <protection hidden="1"/>
    </xf>
    <xf numFmtId="194" fontId="4" fillId="0" borderId="0" xfId="0" applyNumberFormat="1" applyFont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8" fillId="0" borderId="17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/>
      <protection hidden="1"/>
    </xf>
    <xf numFmtId="1" fontId="16" fillId="32" borderId="0" xfId="0" applyNumberFormat="1" applyFont="1" applyFill="1" applyBorder="1" applyAlignment="1" applyProtection="1">
      <alignment/>
      <protection hidden="1"/>
    </xf>
    <xf numFmtId="0" fontId="8" fillId="4" borderId="0" xfId="0" applyFont="1" applyFill="1" applyAlignment="1" applyProtection="1">
      <alignment/>
      <protection locked="0"/>
    </xf>
    <xf numFmtId="0" fontId="4" fillId="4" borderId="0" xfId="0" applyFont="1" applyFill="1" applyAlignment="1" applyProtection="1">
      <alignment/>
      <protection hidden="1"/>
    </xf>
    <xf numFmtId="0" fontId="22" fillId="33" borderId="17" xfId="0" applyFont="1" applyFill="1" applyBorder="1" applyAlignment="1" applyProtection="1">
      <alignment horizontal="center"/>
      <protection hidden="1"/>
    </xf>
    <xf numFmtId="2" fontId="8" fillId="4" borderId="17" xfId="0" applyNumberFormat="1" applyFont="1" applyFill="1" applyBorder="1" applyAlignment="1" applyProtection="1">
      <alignment horizontal="right"/>
      <protection locked="0"/>
    </xf>
    <xf numFmtId="1" fontId="8" fillId="4" borderId="17" xfId="0" applyNumberFormat="1" applyFont="1" applyFill="1" applyBorder="1" applyAlignment="1" applyProtection="1">
      <alignment horizontal="right"/>
      <protection locked="0"/>
    </xf>
    <xf numFmtId="0" fontId="21" fillId="33" borderId="17" xfId="0" applyFont="1" applyFill="1" applyBorder="1" applyAlignment="1" applyProtection="1">
      <alignment horizontal="right"/>
      <protection hidden="1"/>
    </xf>
    <xf numFmtId="0" fontId="23" fillId="0" borderId="0" xfId="0" applyFont="1" applyAlignment="1" applyProtection="1">
      <alignment vertical="center"/>
      <protection hidden="1"/>
    </xf>
    <xf numFmtId="1" fontId="8" fillId="0" borderId="0" xfId="0" applyNumberFormat="1" applyFont="1" applyBorder="1" applyAlignment="1" applyProtection="1">
      <alignment horizontal="center"/>
      <protection hidden="1"/>
    </xf>
    <xf numFmtId="1" fontId="8" fillId="0" borderId="18" xfId="0" applyNumberFormat="1" applyFont="1" applyBorder="1" applyAlignment="1" applyProtection="1">
      <alignment horizontal="center"/>
      <protection hidden="1"/>
    </xf>
    <xf numFmtId="0" fontId="4" fillId="34" borderId="0" xfId="0" applyFont="1" applyFill="1" applyAlignment="1" applyProtection="1">
      <alignment/>
      <protection hidden="1"/>
    </xf>
    <xf numFmtId="1" fontId="8" fillId="0" borderId="0" xfId="0" applyNumberFormat="1" applyFont="1" applyAlignment="1" applyProtection="1">
      <alignment horizontal="center"/>
      <protection hidden="1"/>
    </xf>
    <xf numFmtId="2" fontId="8" fillId="0" borderId="0" xfId="0" applyNumberFormat="1" applyFont="1" applyAlignment="1" applyProtection="1">
      <alignment horizontal="center"/>
      <protection hidden="1"/>
    </xf>
    <xf numFmtId="1" fontId="5" fillId="32" borderId="0" xfId="0" applyNumberFormat="1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2" fontId="5" fillId="0" borderId="0" xfId="0" applyNumberFormat="1" applyFont="1" applyFill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/>
      <protection hidden="1"/>
    </xf>
    <xf numFmtId="1" fontId="6" fillId="0" borderId="0" xfId="0" applyNumberFormat="1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2" fontId="6" fillId="0" borderId="0" xfId="0" applyNumberFormat="1" applyFont="1" applyFill="1" applyAlignment="1" applyProtection="1">
      <alignment horizontal="left"/>
      <protection hidden="1"/>
    </xf>
    <xf numFmtId="1" fontId="5" fillId="0" borderId="0" xfId="0" applyNumberFormat="1" applyFont="1" applyFill="1" applyAlignment="1" applyProtection="1">
      <alignment/>
      <protection hidden="1"/>
    </xf>
    <xf numFmtId="9" fontId="5" fillId="0" borderId="0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center"/>
      <protection hidden="1"/>
    </xf>
    <xf numFmtId="1" fontId="16" fillId="0" borderId="0" xfId="0" applyNumberFormat="1" applyFont="1" applyFill="1" applyAlignment="1" applyProtection="1">
      <alignment/>
      <protection hidden="1"/>
    </xf>
    <xf numFmtId="1" fontId="5" fillId="32" borderId="0" xfId="0" applyNumberFormat="1" applyFont="1" applyFill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8" fillId="4" borderId="0" xfId="0" applyFont="1" applyFill="1" applyAlignment="1" applyProtection="1">
      <alignment/>
      <protection hidden="1" locked="0"/>
    </xf>
    <xf numFmtId="0" fontId="21" fillId="33" borderId="17" xfId="0" applyFont="1" applyFill="1" applyBorder="1" applyAlignment="1" applyProtection="1">
      <alignment horizontal="center"/>
      <protection hidden="1"/>
    </xf>
    <xf numFmtId="0" fontId="21" fillId="33" borderId="17" xfId="0" applyFont="1" applyFill="1" applyBorder="1" applyAlignment="1" applyProtection="1">
      <alignment/>
      <protection hidden="1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 applyProtection="1">
      <alignment/>
      <protection hidden="1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hidden="1"/>
    </xf>
    <xf numFmtId="2" fontId="4" fillId="0" borderId="17" xfId="0" applyNumberFormat="1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/>
      <protection hidden="1"/>
    </xf>
    <xf numFmtId="10" fontId="5" fillId="35" borderId="0" xfId="0" applyNumberFormat="1" applyFont="1" applyFill="1" applyAlignment="1" applyProtection="1">
      <alignment horizontal="center" vertical="center"/>
      <protection hidden="1"/>
    </xf>
    <xf numFmtId="9" fontId="5" fillId="35" borderId="0" xfId="0" applyNumberFormat="1" applyFont="1" applyFill="1" applyAlignment="1" applyProtection="1">
      <alignment horizontal="center" vertical="center"/>
      <protection hidden="1"/>
    </xf>
    <xf numFmtId="1" fontId="5" fillId="0" borderId="0" xfId="0" applyNumberFormat="1" applyFont="1" applyBorder="1" applyAlignment="1" applyProtection="1">
      <alignment/>
      <protection hidden="1"/>
    </xf>
    <xf numFmtId="0" fontId="1" fillId="0" borderId="0" xfId="0" applyFont="1" applyBorder="1" applyAlignment="1">
      <alignment/>
    </xf>
    <xf numFmtId="0" fontId="28" fillId="0" borderId="0" xfId="0" applyFont="1" applyBorder="1" applyAlignment="1">
      <alignment vertical="top" wrapText="1"/>
    </xf>
    <xf numFmtId="0" fontId="15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19" xfId="0" applyFont="1" applyBorder="1" applyAlignment="1" applyProtection="1">
      <alignment/>
      <protection hidden="1"/>
    </xf>
    <xf numFmtId="0" fontId="4" fillId="0" borderId="20" xfId="0" applyFont="1" applyBorder="1" applyAlignment="1" applyProtection="1">
      <alignment/>
      <protection hidden="1"/>
    </xf>
    <xf numFmtId="0" fontId="29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8" fillId="0" borderId="14" xfId="0" applyFont="1" applyBorder="1" applyAlignment="1" applyProtection="1">
      <alignment/>
      <protection hidden="1"/>
    </xf>
    <xf numFmtId="186" fontId="8" fillId="0" borderId="0" xfId="0" applyNumberFormat="1" applyFont="1" applyAlignment="1" applyProtection="1">
      <alignment/>
      <protection hidden="1"/>
    </xf>
    <xf numFmtId="187" fontId="4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186" fontId="4" fillId="0" borderId="0" xfId="0" applyNumberFormat="1" applyFont="1" applyAlignment="1" applyProtection="1">
      <alignment/>
      <protection hidden="1"/>
    </xf>
    <xf numFmtId="187" fontId="8" fillId="0" borderId="0" xfId="0" applyNumberFormat="1" applyFont="1" applyAlignment="1" applyProtection="1">
      <alignment/>
      <protection hidden="1"/>
    </xf>
    <xf numFmtId="0" fontId="4" fillId="0" borderId="21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2" fontId="8" fillId="0" borderId="0" xfId="0" applyNumberFormat="1" applyFont="1" applyBorder="1" applyAlignment="1" applyProtection="1">
      <alignment/>
      <protection hidden="1"/>
    </xf>
    <xf numFmtId="44" fontId="8" fillId="0" borderId="0" xfId="0" applyNumberFormat="1" applyFont="1" applyBorder="1" applyAlignment="1" applyProtection="1">
      <alignment/>
      <protection hidden="1"/>
    </xf>
    <xf numFmtId="187" fontId="8" fillId="0" borderId="0" xfId="0" applyNumberFormat="1" applyFont="1" applyBorder="1" applyAlignment="1" applyProtection="1">
      <alignment horizontal="center"/>
      <protection hidden="1"/>
    </xf>
    <xf numFmtId="186" fontId="8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186" fontId="8" fillId="0" borderId="0" xfId="0" applyNumberFormat="1" applyFont="1" applyBorder="1" applyAlignment="1" applyProtection="1">
      <alignment horizontal="left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locked="0"/>
    </xf>
    <xf numFmtId="0" fontId="5" fillId="36" borderId="0" xfId="0" applyFont="1" applyFill="1" applyAlignment="1" applyProtection="1">
      <alignment/>
      <protection hidden="1"/>
    </xf>
    <xf numFmtId="0" fontId="5" fillId="36" borderId="0" xfId="0" applyFont="1" applyFill="1" applyAlignment="1" applyProtection="1">
      <alignment horizont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1" fontId="16" fillId="0" borderId="0" xfId="0" applyNumberFormat="1" applyFont="1" applyFill="1" applyBorder="1" applyAlignment="1" applyProtection="1">
      <alignment/>
      <protection hidden="1"/>
    </xf>
    <xf numFmtId="9" fontId="5" fillId="0" borderId="0" xfId="0" applyNumberFormat="1" applyFont="1" applyFill="1" applyAlignment="1" applyProtection="1">
      <alignment horizontal="center" vertical="center"/>
      <protection hidden="1"/>
    </xf>
    <xf numFmtId="188" fontId="8" fillId="0" borderId="0" xfId="0" applyNumberFormat="1" applyFont="1" applyAlignment="1" applyProtection="1">
      <alignment horizontal="left"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188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Border="1" applyAlignment="1" applyProtection="1">
      <alignment horizontal="right"/>
      <protection hidden="1"/>
    </xf>
    <xf numFmtId="2" fontId="5" fillId="0" borderId="0" xfId="0" applyNumberFormat="1" applyFont="1" applyBorder="1" applyAlignment="1" applyProtection="1">
      <alignment/>
      <protection hidden="1"/>
    </xf>
    <xf numFmtId="2" fontId="6" fillId="0" borderId="0" xfId="0" applyNumberFormat="1" applyFont="1" applyFill="1" applyAlignment="1" applyProtection="1">
      <alignment horizontal="center"/>
      <protection hidden="1"/>
    </xf>
    <xf numFmtId="0" fontId="16" fillId="0" borderId="0" xfId="0" applyFont="1" applyFill="1" applyAlignment="1" applyProtection="1">
      <alignment horizontal="left"/>
      <protection hidden="1"/>
    </xf>
    <xf numFmtId="0" fontId="33" fillId="0" borderId="0" xfId="0" applyFont="1" applyAlignment="1" applyProtection="1">
      <alignment horizontal="left"/>
      <protection hidden="1"/>
    </xf>
    <xf numFmtId="0" fontId="34" fillId="0" borderId="0" xfId="0" applyFont="1" applyFill="1" applyAlignment="1" applyProtection="1">
      <alignment horizontal="right"/>
      <protection hidden="1"/>
    </xf>
    <xf numFmtId="0" fontId="29" fillId="0" borderId="0" xfId="0" applyFont="1" applyAlignment="1" applyProtection="1">
      <alignment horizontal="right"/>
      <protection hidden="1"/>
    </xf>
    <xf numFmtId="0" fontId="35" fillId="36" borderId="0" xfId="0" applyFont="1" applyFill="1" applyAlignment="1" applyProtection="1">
      <alignment/>
      <protection hidden="1"/>
    </xf>
    <xf numFmtId="2" fontId="6" fillId="0" borderId="0" xfId="0" applyNumberFormat="1" applyFont="1" applyBorder="1" applyAlignment="1" applyProtection="1">
      <alignment horizontal="center"/>
      <protection hidden="1"/>
    </xf>
    <xf numFmtId="0" fontId="34" fillId="0" borderId="0" xfId="0" applyFont="1" applyAlignment="1" applyProtection="1">
      <alignment horizontal="right"/>
      <protection hidden="1"/>
    </xf>
    <xf numFmtId="0" fontId="16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 quotePrefix="1">
      <alignment horizont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188" fontId="8" fillId="0" borderId="0" xfId="0" applyNumberFormat="1" applyFont="1" applyBorder="1" applyAlignment="1" applyProtection="1">
      <alignment horizontal="left"/>
      <protection hidden="1"/>
    </xf>
    <xf numFmtId="0" fontId="30" fillId="0" borderId="14" xfId="0" applyFont="1" applyFill="1" applyBorder="1" applyAlignment="1" applyProtection="1">
      <alignment vertical="center"/>
      <protection hidden="1"/>
    </xf>
    <xf numFmtId="0" fontId="8" fillId="0" borderId="10" xfId="0" applyFont="1" applyBorder="1" applyAlignment="1" applyProtection="1">
      <alignment horizontal="right"/>
      <protection hidden="1"/>
    </xf>
    <xf numFmtId="188" fontId="8" fillId="33" borderId="17" xfId="0" applyNumberFormat="1" applyFont="1" applyFill="1" applyBorder="1" applyAlignment="1" applyProtection="1">
      <alignment horizontal="center"/>
      <protection hidden="1"/>
    </xf>
    <xf numFmtId="0" fontId="22" fillId="33" borderId="17" xfId="0" applyFont="1" applyFill="1" applyBorder="1" applyAlignment="1" applyProtection="1">
      <alignment horizontal="center"/>
      <protection locked="0"/>
    </xf>
    <xf numFmtId="49" fontId="8" fillId="4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hidden="1"/>
    </xf>
    <xf numFmtId="0" fontId="9" fillId="0" borderId="18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4" fillId="0" borderId="18" xfId="0" applyFont="1" applyBorder="1" applyAlignment="1" applyProtection="1">
      <alignment/>
      <protection hidden="1"/>
    </xf>
    <xf numFmtId="0" fontId="5" fillId="0" borderId="19" xfId="0" applyFont="1" applyBorder="1" applyAlignment="1" applyProtection="1">
      <alignment horizontal="center"/>
      <protection hidden="1"/>
    </xf>
    <xf numFmtId="0" fontId="5" fillId="0" borderId="20" xfId="0" applyFont="1" applyBorder="1" applyAlignment="1" applyProtection="1">
      <alignment horizont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1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1" fillId="4" borderId="11" xfId="0" applyFont="1" applyFill="1" applyBorder="1" applyAlignment="1" applyProtection="1">
      <alignment vertical="center"/>
      <protection hidden="1"/>
    </xf>
    <xf numFmtId="0" fontId="4" fillId="4" borderId="18" xfId="0" applyFont="1" applyFill="1" applyBorder="1" applyAlignment="1" applyProtection="1">
      <alignment vertical="center"/>
      <protection hidden="1"/>
    </xf>
    <xf numFmtId="0" fontId="4" fillId="4" borderId="11" xfId="0" applyFont="1" applyFill="1" applyBorder="1" applyAlignment="1" applyProtection="1">
      <alignment vertical="center"/>
      <protection hidden="1"/>
    </xf>
    <xf numFmtId="0" fontId="8" fillId="4" borderId="11" xfId="0" applyFont="1" applyFill="1" applyBorder="1" applyAlignment="1" applyProtection="1">
      <alignment vertical="center"/>
      <protection hidden="1"/>
    </xf>
    <xf numFmtId="0" fontId="39" fillId="4" borderId="10" xfId="0" applyFont="1" applyFill="1" applyBorder="1" applyAlignment="1" applyProtection="1">
      <alignment vertical="center"/>
      <protection locked="0"/>
    </xf>
    <xf numFmtId="0" fontId="4" fillId="34" borderId="0" xfId="0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4" borderId="0" xfId="0" applyFont="1" applyFill="1" applyAlignment="1" applyProtection="1">
      <alignment/>
      <protection locked="0"/>
    </xf>
    <xf numFmtId="190" fontId="8" fillId="4" borderId="0" xfId="0" applyNumberFormat="1" applyFont="1" applyFill="1" applyAlignment="1" applyProtection="1">
      <alignment/>
      <protection locked="0"/>
    </xf>
    <xf numFmtId="0" fontId="4" fillId="37" borderId="0" xfId="0" applyFont="1" applyFill="1" applyAlignment="1" applyProtection="1">
      <alignment/>
      <protection hidden="1"/>
    </xf>
    <xf numFmtId="0" fontId="8" fillId="37" borderId="0" xfId="0" applyFont="1" applyFill="1" applyAlignment="1" applyProtection="1">
      <alignment horizontal="center"/>
      <protection hidden="1"/>
    </xf>
    <xf numFmtId="0" fontId="4" fillId="37" borderId="0" xfId="0" applyFont="1" applyFill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32" borderId="0" xfId="0" applyFont="1" applyFill="1" applyAlignment="1" applyProtection="1">
      <alignment/>
      <protection hidden="1"/>
    </xf>
    <xf numFmtId="0" fontId="5" fillId="3" borderId="0" xfId="0" applyFont="1" applyFill="1" applyAlignment="1" applyProtection="1">
      <alignment/>
      <protection hidden="1"/>
    </xf>
    <xf numFmtId="0" fontId="5" fillId="3" borderId="0" xfId="0" applyFont="1" applyFill="1" applyAlignment="1" applyProtection="1">
      <alignment horizontal="right"/>
      <protection hidden="1"/>
    </xf>
    <xf numFmtId="0" fontId="8" fillId="0" borderId="12" xfId="0" applyFont="1" applyBorder="1" applyAlignment="1" applyProtection="1">
      <alignment/>
      <protection hidden="1" locked="0"/>
    </xf>
    <xf numFmtId="0" fontId="4" fillId="0" borderId="13" xfId="0" applyFont="1" applyBorder="1" applyAlignment="1" applyProtection="1">
      <alignment/>
      <protection hidden="1" locked="0"/>
    </xf>
    <xf numFmtId="0" fontId="8" fillId="0" borderId="14" xfId="0" applyFont="1" applyBorder="1" applyAlignment="1" applyProtection="1">
      <alignment/>
      <protection hidden="1" locked="0"/>
    </xf>
    <xf numFmtId="0" fontId="4" fillId="0" borderId="0" xfId="0" applyFont="1" applyBorder="1" applyAlignment="1" applyProtection="1">
      <alignment/>
      <protection hidden="1" locked="0"/>
    </xf>
    <xf numFmtId="0" fontId="4" fillId="0" borderId="14" xfId="0" applyFont="1" applyBorder="1" applyAlignment="1" applyProtection="1">
      <alignment/>
      <protection hidden="1" locked="0"/>
    </xf>
    <xf numFmtId="0" fontId="4" fillId="0" borderId="15" xfId="0" applyFont="1" applyBorder="1" applyAlignment="1" applyProtection="1">
      <alignment/>
      <protection hidden="1" locked="0"/>
    </xf>
    <xf numFmtId="0" fontId="4" fillId="0" borderId="16" xfId="0" applyFont="1" applyBorder="1" applyAlignment="1" applyProtection="1">
      <alignment/>
      <protection hidden="1" locked="0"/>
    </xf>
    <xf numFmtId="0" fontId="6" fillId="0" borderId="0" xfId="0" applyFont="1" applyAlignment="1" applyProtection="1">
      <alignment horizontal="right" vertical="center"/>
      <protection hidden="1"/>
    </xf>
    <xf numFmtId="1" fontId="6" fillId="0" borderId="21" xfId="0" applyNumberFormat="1" applyFont="1" applyBorder="1" applyAlignment="1" applyProtection="1">
      <alignment horizontal="center"/>
      <protection hidden="1"/>
    </xf>
    <xf numFmtId="1" fontId="5" fillId="37" borderId="17" xfId="0" applyNumberFormat="1" applyFont="1" applyFill="1" applyBorder="1" applyAlignment="1" applyProtection="1">
      <alignment horizontal="center"/>
      <protection hidden="1"/>
    </xf>
    <xf numFmtId="1" fontId="5" fillId="0" borderId="18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  <xf numFmtId="1" fontId="6" fillId="0" borderId="0" xfId="0" applyNumberFormat="1" applyFont="1" applyFill="1" applyAlignment="1" applyProtection="1">
      <alignment horizontal="center"/>
      <protection hidden="1"/>
    </xf>
    <xf numFmtId="1" fontId="20" fillId="32" borderId="0" xfId="0" applyNumberFormat="1" applyFont="1" applyFill="1" applyAlignment="1" applyProtection="1">
      <alignment horizontal="center"/>
      <protection hidden="1"/>
    </xf>
    <xf numFmtId="1" fontId="16" fillId="32" borderId="0" xfId="0" applyNumberFormat="1" applyFont="1" applyFill="1" applyAlignment="1" applyProtection="1">
      <alignment horizontal="center"/>
      <protection hidden="1"/>
    </xf>
    <xf numFmtId="0" fontId="5" fillId="0" borderId="21" xfId="0" applyFont="1" applyBorder="1" applyAlignment="1" applyProtection="1">
      <alignment horizontal="center"/>
      <protection hidden="1"/>
    </xf>
    <xf numFmtId="1" fontId="8" fillId="0" borderId="21" xfId="0" applyNumberFormat="1" applyFont="1" applyBorder="1" applyAlignment="1" applyProtection="1">
      <alignment horizontal="center"/>
      <protection hidden="1"/>
    </xf>
    <xf numFmtId="1" fontId="8" fillId="32" borderId="21" xfId="0" applyNumberFormat="1" applyFont="1" applyFill="1" applyBorder="1" applyAlignment="1" applyProtection="1">
      <alignment horizontal="center"/>
      <protection hidden="1"/>
    </xf>
    <xf numFmtId="1" fontId="16" fillId="0" borderId="21" xfId="0" applyNumberFormat="1" applyFont="1" applyFill="1" applyBorder="1" applyAlignment="1" applyProtection="1">
      <alignment horizontal="center"/>
      <protection hidden="1"/>
    </xf>
    <xf numFmtId="1" fontId="6" fillId="0" borderId="20" xfId="0" applyNumberFormat="1" applyFont="1" applyBorder="1" applyAlignment="1" applyProtection="1">
      <alignment horizontal="center"/>
      <protection hidden="1"/>
    </xf>
    <xf numFmtId="1" fontId="6" fillId="0" borderId="19" xfId="0" applyNumberFormat="1" applyFont="1" applyBorder="1" applyAlignment="1" applyProtection="1">
      <alignment horizontal="center"/>
      <protection hidden="1"/>
    </xf>
    <xf numFmtId="1" fontId="6" fillId="37" borderId="21" xfId="0" applyNumberFormat="1" applyFont="1" applyFill="1" applyBorder="1" applyAlignment="1" applyProtection="1">
      <alignment horizontal="center"/>
      <protection hidden="1"/>
    </xf>
    <xf numFmtId="1" fontId="6" fillId="0" borderId="0" xfId="0" applyNumberFormat="1" applyFont="1" applyFill="1" applyBorder="1" applyAlignment="1" applyProtection="1">
      <alignment horizontal="center"/>
      <protection hidden="1"/>
    </xf>
    <xf numFmtId="1" fontId="6" fillId="37" borderId="17" xfId="0" applyNumberFormat="1" applyFont="1" applyFill="1" applyBorder="1" applyAlignment="1" applyProtection="1">
      <alignment horizontal="center"/>
      <protection hidden="1"/>
    </xf>
    <xf numFmtId="0" fontId="5" fillId="0" borderId="22" xfId="0" applyFont="1" applyBorder="1" applyAlignment="1" applyProtection="1">
      <alignment/>
      <protection hidden="1"/>
    </xf>
    <xf numFmtId="0" fontId="5" fillId="0" borderId="23" xfId="0" applyFont="1" applyBorder="1" applyAlignment="1" applyProtection="1">
      <alignment/>
      <protection hidden="1"/>
    </xf>
    <xf numFmtId="0" fontId="5" fillId="0" borderId="24" xfId="0" applyFont="1" applyBorder="1" applyAlignment="1" applyProtection="1">
      <alignment/>
      <protection hidden="1"/>
    </xf>
    <xf numFmtId="0" fontId="5" fillId="0" borderId="25" xfId="0" applyFont="1" applyBorder="1" applyAlignment="1" applyProtection="1">
      <alignment/>
      <protection hidden="1"/>
    </xf>
    <xf numFmtId="0" fontId="5" fillId="0" borderId="26" xfId="0" applyFont="1" applyBorder="1" applyAlignment="1" applyProtection="1">
      <alignment/>
      <protection hidden="1"/>
    </xf>
    <xf numFmtId="0" fontId="5" fillId="0" borderId="27" xfId="0" applyFont="1" applyBorder="1" applyAlignment="1" applyProtection="1">
      <alignment/>
      <protection hidden="1"/>
    </xf>
    <xf numFmtId="0" fontId="5" fillId="0" borderId="28" xfId="0" applyFont="1" applyBorder="1" applyAlignment="1" applyProtection="1">
      <alignment/>
      <protection hidden="1"/>
    </xf>
    <xf numFmtId="0" fontId="5" fillId="0" borderId="29" xfId="0" applyFont="1" applyBorder="1" applyAlignment="1" applyProtection="1">
      <alignment/>
      <protection hidden="1"/>
    </xf>
    <xf numFmtId="1" fontId="38" fillId="0" borderId="0" xfId="0" applyNumberFormat="1" applyFont="1" applyAlignment="1" applyProtection="1">
      <alignment horizontal="center" vertical="center"/>
      <protection hidden="1"/>
    </xf>
    <xf numFmtId="1" fontId="5" fillId="0" borderId="0" xfId="0" applyNumberFormat="1" applyFont="1" applyFill="1" applyBorder="1" applyAlignment="1" applyProtection="1">
      <alignment horizontal="center"/>
      <protection hidden="1"/>
    </xf>
    <xf numFmtId="1" fontId="8" fillId="32" borderId="0" xfId="0" applyNumberFormat="1" applyFont="1" applyFill="1" applyAlignment="1" applyProtection="1">
      <alignment horizontal="center"/>
      <protection hidden="1"/>
    </xf>
    <xf numFmtId="1" fontId="15" fillId="32" borderId="0" xfId="0" applyNumberFormat="1" applyFont="1" applyFill="1" applyAlignment="1" applyProtection="1">
      <alignment horizontal="center"/>
      <protection hidden="1"/>
    </xf>
    <xf numFmtId="1" fontId="5" fillId="37" borderId="0" xfId="0" applyNumberFormat="1" applyFont="1" applyFill="1" applyAlignment="1" applyProtection="1">
      <alignment horizontal="center"/>
      <protection hidden="1"/>
    </xf>
    <xf numFmtId="1" fontId="5" fillId="37" borderId="0" xfId="0" applyNumberFormat="1" applyFont="1" applyFill="1" applyBorder="1" applyAlignment="1" applyProtection="1">
      <alignment horizontal="center"/>
      <protection hidden="1"/>
    </xf>
    <xf numFmtId="0" fontId="5" fillId="37" borderId="17" xfId="0" applyFont="1" applyFill="1" applyBorder="1" applyAlignment="1" applyProtection="1">
      <alignment horizontal="center"/>
      <protection hidden="1"/>
    </xf>
    <xf numFmtId="1" fontId="36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/>
      <protection locked="0"/>
    </xf>
    <xf numFmtId="1" fontId="6" fillId="37" borderId="0" xfId="0" applyNumberFormat="1" applyFont="1" applyFill="1" applyBorder="1" applyAlignment="1" applyProtection="1">
      <alignment horizontal="center"/>
      <protection hidden="1"/>
    </xf>
    <xf numFmtId="9" fontId="5" fillId="36" borderId="0" xfId="0" applyNumberFormat="1" applyFont="1" applyFill="1" applyAlignment="1" applyProtection="1">
      <alignment horizontal="center" vertical="center"/>
      <protection hidden="1"/>
    </xf>
    <xf numFmtId="1" fontId="6" fillId="36" borderId="0" xfId="0" applyNumberFormat="1" applyFont="1" applyFill="1" applyBorder="1" applyAlignment="1" applyProtection="1">
      <alignment horizontal="center"/>
      <protection hidden="1"/>
    </xf>
    <xf numFmtId="188" fontId="6" fillId="38" borderId="0" xfId="0" applyNumberFormat="1" applyFont="1" applyFill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8" fillId="0" borderId="0" xfId="0" applyFont="1" applyBorder="1" applyAlignment="1" applyProtection="1">
      <alignment/>
      <protection hidden="1"/>
    </xf>
    <xf numFmtId="44" fontId="27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29" fillId="0" borderId="0" xfId="0" applyFont="1" applyFill="1" applyBorder="1" applyAlignment="1" applyProtection="1">
      <alignment/>
      <protection hidden="1"/>
    </xf>
    <xf numFmtId="0" fontId="5" fillId="0" borderId="28" xfId="0" applyFont="1" applyFill="1" applyBorder="1" applyAlignment="1" applyProtection="1">
      <alignment/>
      <protection hidden="1"/>
    </xf>
    <xf numFmtId="0" fontId="40" fillId="0" borderId="0" xfId="0" applyFont="1" applyAlignment="1" applyProtection="1">
      <alignment vertical="center"/>
      <protection hidden="1"/>
    </xf>
    <xf numFmtId="0" fontId="5" fillId="0" borderId="23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186" fontId="4" fillId="0" borderId="0" xfId="0" applyNumberFormat="1" applyFont="1" applyAlignment="1" applyProtection="1">
      <alignment/>
      <protection hidden="1"/>
    </xf>
    <xf numFmtId="186" fontId="15" fillId="0" borderId="0" xfId="0" applyNumberFormat="1" applyFont="1" applyAlignment="1" applyProtection="1">
      <alignment/>
      <protection hidden="1"/>
    </xf>
    <xf numFmtId="0" fontId="4" fillId="0" borderId="13" xfId="0" applyFont="1" applyFill="1" applyBorder="1" applyAlignment="1" applyProtection="1">
      <alignment/>
      <protection hidden="1"/>
    </xf>
    <xf numFmtId="0" fontId="4" fillId="0" borderId="16" xfId="0" applyFont="1" applyFill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186" fontId="8" fillId="0" borderId="0" xfId="0" applyNumberFormat="1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46" fillId="0" borderId="0" xfId="0" applyFont="1" applyAlignment="1">
      <alignment/>
    </xf>
    <xf numFmtId="0" fontId="15" fillId="0" borderId="0" xfId="0" applyFont="1" applyAlignment="1" applyProtection="1">
      <alignment vertical="center"/>
      <protection locked="0"/>
    </xf>
    <xf numFmtId="0" fontId="46" fillId="0" borderId="0" xfId="0" applyFont="1" applyAlignment="1">
      <alignment/>
    </xf>
    <xf numFmtId="0" fontId="4" fillId="0" borderId="0" xfId="0" applyNumberFormat="1" applyFont="1" applyAlignment="1" applyProtection="1">
      <alignment/>
      <protection hidden="1"/>
    </xf>
    <xf numFmtId="0" fontId="9" fillId="0" borderId="0" xfId="0" applyNumberFormat="1" applyFont="1" applyAlignment="1" applyProtection="1">
      <alignment/>
      <protection hidden="1"/>
    </xf>
    <xf numFmtId="0" fontId="48" fillId="0" borderId="0" xfId="0" applyFont="1" applyAlignment="1">
      <alignment horizontal="justify"/>
    </xf>
    <xf numFmtId="0" fontId="48" fillId="0" borderId="0" xfId="0" applyFont="1" applyAlignment="1">
      <alignment/>
    </xf>
    <xf numFmtId="0" fontId="48" fillId="0" borderId="0" xfId="0" applyNumberFormat="1" applyFont="1" applyAlignment="1">
      <alignment/>
    </xf>
    <xf numFmtId="2" fontId="4" fillId="0" borderId="0" xfId="0" applyNumberFormat="1" applyFont="1" applyAlignment="1" applyProtection="1">
      <alignment/>
      <protection hidden="1"/>
    </xf>
    <xf numFmtId="2" fontId="8" fillId="0" borderId="0" xfId="0" applyNumberFormat="1" applyFont="1" applyFill="1" applyBorder="1" applyAlignment="1" applyProtection="1">
      <alignment horizontal="right"/>
      <protection locked="0"/>
    </xf>
    <xf numFmtId="1" fontId="8" fillId="0" borderId="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Fill="1" applyBorder="1" applyAlignment="1" applyProtection="1">
      <alignment horizontal="center"/>
      <protection hidden="1"/>
    </xf>
    <xf numFmtId="2" fontId="8" fillId="0" borderId="0" xfId="0" applyNumberFormat="1" applyFont="1" applyFill="1" applyBorder="1" applyAlignment="1" applyProtection="1">
      <alignment horizontal="right"/>
      <protection hidden="1"/>
    </xf>
    <xf numFmtId="0" fontId="8" fillId="0" borderId="0" xfId="0" applyFont="1" applyFill="1" applyBorder="1" applyAlignment="1" applyProtection="1">
      <alignment/>
      <protection hidden="1"/>
    </xf>
    <xf numFmtId="1" fontId="8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hidden="1"/>
    </xf>
    <xf numFmtId="1" fontId="4" fillId="0" borderId="0" xfId="0" applyNumberFormat="1" applyFont="1" applyBorder="1" applyAlignment="1" applyProtection="1">
      <alignment/>
      <protection hidden="1"/>
    </xf>
    <xf numFmtId="186" fontId="4" fillId="0" borderId="0" xfId="0" applyNumberFormat="1" applyFont="1" applyBorder="1" applyAlignment="1" applyProtection="1">
      <alignment/>
      <protection hidden="1"/>
    </xf>
    <xf numFmtId="204" fontId="8" fillId="0" borderId="0" xfId="0" applyNumberFormat="1" applyFont="1" applyBorder="1" applyAlignment="1" applyProtection="1">
      <alignment/>
      <protection hidden="1"/>
    </xf>
    <xf numFmtId="187" fontId="8" fillId="0" borderId="0" xfId="0" applyNumberFormat="1" applyFont="1" applyBorder="1" applyAlignment="1" applyProtection="1">
      <alignment/>
      <protection hidden="1"/>
    </xf>
    <xf numFmtId="187" fontId="15" fillId="0" borderId="0" xfId="0" applyNumberFormat="1" applyFont="1" applyAlignment="1" applyProtection="1">
      <alignment/>
      <protection hidden="1"/>
    </xf>
    <xf numFmtId="187" fontId="4" fillId="0" borderId="0" xfId="0" applyNumberFormat="1" applyFont="1" applyBorder="1" applyAlignment="1" applyProtection="1">
      <alignment/>
      <protection hidden="1"/>
    </xf>
    <xf numFmtId="1" fontId="4" fillId="0" borderId="0" xfId="0" applyNumberFormat="1" applyFont="1" applyAlignment="1" applyProtection="1">
      <alignment/>
      <protection hidden="1"/>
    </xf>
    <xf numFmtId="0" fontId="48" fillId="0" borderId="0" xfId="0" applyFont="1" applyAlignment="1">
      <alignment/>
    </xf>
    <xf numFmtId="0" fontId="26" fillId="0" borderId="0" xfId="0" applyFont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49" fillId="0" borderId="0" xfId="0" applyFont="1" applyAlignment="1">
      <alignment/>
    </xf>
    <xf numFmtId="0" fontId="8" fillId="0" borderId="0" xfId="0" applyFont="1" applyFill="1" applyAlignment="1" applyProtection="1">
      <alignment/>
      <protection locked="0"/>
    </xf>
    <xf numFmtId="0" fontId="17" fillId="0" borderId="0" xfId="0" applyFont="1" applyAlignment="1" applyProtection="1">
      <alignment/>
      <protection hidden="1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1" fontId="52" fillId="0" borderId="0" xfId="0" applyNumberFormat="1" applyFont="1" applyAlignment="1">
      <alignment horizontal="left"/>
    </xf>
    <xf numFmtId="0" fontId="52" fillId="0" borderId="0" xfId="0" applyFont="1" applyAlignment="1">
      <alignment/>
    </xf>
    <xf numFmtId="0" fontId="4" fillId="0" borderId="22" xfId="0" applyFont="1" applyBorder="1" applyAlignment="1" applyProtection="1">
      <alignment/>
      <protection hidden="1"/>
    </xf>
    <xf numFmtId="188" fontId="8" fillId="0" borderId="23" xfId="0" applyNumberFormat="1" applyFont="1" applyBorder="1" applyAlignment="1" applyProtection="1">
      <alignment/>
      <protection hidden="1"/>
    </xf>
    <xf numFmtId="0" fontId="4" fillId="0" borderId="23" xfId="0" applyFont="1" applyBorder="1" applyAlignment="1" applyProtection="1">
      <alignment/>
      <protection hidden="1"/>
    </xf>
    <xf numFmtId="0" fontId="4" fillId="0" borderId="23" xfId="0" applyFont="1" applyFill="1" applyBorder="1" applyAlignment="1" applyProtection="1">
      <alignment/>
      <protection hidden="1"/>
    </xf>
    <xf numFmtId="1" fontId="4" fillId="0" borderId="23" xfId="0" applyNumberFormat="1" applyFont="1" applyBorder="1" applyAlignment="1" applyProtection="1">
      <alignment/>
      <protection hidden="1"/>
    </xf>
    <xf numFmtId="186" fontId="4" fillId="0" borderId="23" xfId="0" applyNumberFormat="1" applyFont="1" applyBorder="1" applyAlignment="1" applyProtection="1">
      <alignment/>
      <protection hidden="1"/>
    </xf>
    <xf numFmtId="0" fontId="4" fillId="0" borderId="24" xfId="0" applyFont="1" applyBorder="1" applyAlignment="1" applyProtection="1">
      <alignment/>
      <protection hidden="1"/>
    </xf>
    <xf numFmtId="0" fontId="4" fillId="0" borderId="25" xfId="0" applyFont="1" applyBorder="1" applyAlignment="1" applyProtection="1">
      <alignment/>
      <protection hidden="1"/>
    </xf>
    <xf numFmtId="0" fontId="4" fillId="0" borderId="26" xfId="0" applyFont="1" applyBorder="1" applyAlignment="1" applyProtection="1">
      <alignment/>
      <protection hidden="1"/>
    </xf>
    <xf numFmtId="0" fontId="4" fillId="0" borderId="27" xfId="0" applyFont="1" applyBorder="1" applyAlignment="1" applyProtection="1">
      <alignment/>
      <protection hidden="1"/>
    </xf>
    <xf numFmtId="0" fontId="4" fillId="0" borderId="28" xfId="0" applyFont="1" applyBorder="1" applyAlignment="1" applyProtection="1">
      <alignment/>
      <protection hidden="1"/>
    </xf>
    <xf numFmtId="0" fontId="4" fillId="0" borderId="29" xfId="0" applyFont="1" applyBorder="1" applyAlignment="1" applyProtection="1">
      <alignment/>
      <protection hidden="1"/>
    </xf>
    <xf numFmtId="1" fontId="34" fillId="0" borderId="0" xfId="0" applyNumberFormat="1" applyFont="1" applyAlignment="1" applyProtection="1">
      <alignment horizontal="left"/>
      <protection hidden="1"/>
    </xf>
    <xf numFmtId="1" fontId="38" fillId="0" borderId="0" xfId="0" applyNumberFormat="1" applyFont="1" applyFill="1" applyBorder="1" applyAlignment="1" applyProtection="1">
      <alignment vertical="center"/>
      <protection hidden="1"/>
    </xf>
    <xf numFmtId="1" fontId="55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vertical="center"/>
      <protection hidden="1" locked="0"/>
    </xf>
    <xf numFmtId="0" fontId="8" fillId="39" borderId="30" xfId="0" applyFont="1" applyFill="1" applyBorder="1" applyAlignment="1" applyProtection="1">
      <alignment vertical="center"/>
      <protection hidden="1"/>
    </xf>
    <xf numFmtId="0" fontId="4" fillId="39" borderId="30" xfId="0" applyFont="1" applyFill="1" applyBorder="1" applyAlignment="1" applyProtection="1">
      <alignment vertical="center"/>
      <protection hidden="1"/>
    </xf>
    <xf numFmtId="0" fontId="30" fillId="39" borderId="10" xfId="0" applyFont="1" applyFill="1" applyBorder="1" applyAlignment="1" applyProtection="1">
      <alignment vertical="center"/>
      <protection hidden="1"/>
    </xf>
    <xf numFmtId="0" fontId="8" fillId="39" borderId="11" xfId="0" applyFont="1" applyFill="1" applyBorder="1" applyAlignment="1" applyProtection="1">
      <alignment vertical="center"/>
      <protection hidden="1"/>
    </xf>
    <xf numFmtId="0" fontId="37" fillId="39" borderId="11" xfId="0" applyFont="1" applyFill="1" applyBorder="1" applyAlignment="1" applyProtection="1">
      <alignment vertical="center"/>
      <protection hidden="1"/>
    </xf>
    <xf numFmtId="213" fontId="38" fillId="39" borderId="18" xfId="0" applyNumberFormat="1" applyFont="1" applyFill="1" applyBorder="1" applyAlignment="1" applyProtection="1">
      <alignment vertical="center"/>
      <protection hidden="1"/>
    </xf>
    <xf numFmtId="213" fontId="57" fillId="4" borderId="17" xfId="0" applyNumberFormat="1" applyFont="1" applyFill="1" applyBorder="1" applyAlignment="1" applyProtection="1">
      <alignment horizontal="center" vertical="center"/>
      <protection hidden="1" locked="0"/>
    </xf>
    <xf numFmtId="0" fontId="15" fillId="39" borderId="31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1" fontId="4" fillId="0" borderId="21" xfId="0" applyNumberFormat="1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 hidden="1" locked="0"/>
    </xf>
    <xf numFmtId="0" fontId="4" fillId="0" borderId="21" xfId="0" applyFont="1" applyBorder="1" applyAlignment="1" applyProtection="1">
      <alignment/>
      <protection hidden="1"/>
    </xf>
    <xf numFmtId="0" fontId="15" fillId="39" borderId="32" xfId="0" applyFont="1" applyFill="1" applyBorder="1" applyAlignment="1" applyProtection="1">
      <alignment vertical="center"/>
      <protection hidden="1"/>
    </xf>
    <xf numFmtId="213" fontId="58" fillId="39" borderId="33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4" fillId="0" borderId="21" xfId="0" applyFont="1" applyBorder="1" applyAlignment="1" applyProtection="1">
      <alignment vertical="center"/>
      <protection hidden="1"/>
    </xf>
    <xf numFmtId="0" fontId="0" fillId="0" borderId="0" xfId="0" applyFont="1" applyAlignment="1">
      <alignment horizontal="center"/>
    </xf>
    <xf numFmtId="0" fontId="0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8" fillId="4" borderId="0" xfId="0" applyFont="1" applyFill="1" applyBorder="1" applyAlignment="1" applyProtection="1">
      <alignment/>
      <protection locked="0"/>
    </xf>
    <xf numFmtId="0" fontId="5" fillId="34" borderId="0" xfId="0" applyFont="1" applyFill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4" fillId="36" borderId="0" xfId="0" applyFont="1" applyFill="1" applyAlignment="1" applyProtection="1">
      <alignment/>
      <protection hidden="1"/>
    </xf>
    <xf numFmtId="0" fontId="4" fillId="36" borderId="0" xfId="0" applyFont="1" applyFill="1" applyAlignment="1" applyProtection="1">
      <alignment horizontal="center"/>
      <protection hidden="1"/>
    </xf>
    <xf numFmtId="186" fontId="4" fillId="0" borderId="0" xfId="0" applyNumberFormat="1" applyFont="1" applyAlignment="1" applyProtection="1">
      <alignment horizontal="center"/>
      <protection hidden="1"/>
    </xf>
    <xf numFmtId="0" fontId="27" fillId="0" borderId="0" xfId="0" applyFont="1" applyAlignment="1" applyProtection="1">
      <alignment vertical="top"/>
      <protection hidden="1"/>
    </xf>
    <xf numFmtId="1" fontId="4" fillId="0" borderId="0" xfId="0" applyNumberFormat="1" applyFont="1" applyAlignment="1" applyProtection="1">
      <alignment/>
      <protection hidden="1"/>
    </xf>
    <xf numFmtId="2" fontId="4" fillId="0" borderId="0" xfId="0" applyNumberFormat="1" applyFont="1" applyBorder="1" applyAlignment="1" applyProtection="1">
      <alignment/>
      <protection hidden="1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212" fontId="4" fillId="0" borderId="0" xfId="0" applyNumberFormat="1" applyFont="1" applyAlignment="1" applyProtection="1">
      <alignment/>
      <protection hidden="1"/>
    </xf>
    <xf numFmtId="1" fontId="0" fillId="0" borderId="0" xfId="0" applyNumberFormat="1" applyAlignment="1">
      <alignment/>
    </xf>
    <xf numFmtId="0" fontId="0" fillId="40" borderId="34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40" borderId="35" xfId="0" applyFill="1" applyBorder="1" applyAlignment="1" applyProtection="1">
      <alignment/>
      <protection hidden="1"/>
    </xf>
    <xf numFmtId="0" fontId="0" fillId="40" borderId="36" xfId="0" applyFill="1" applyBorder="1" applyAlignment="1" applyProtection="1">
      <alignment/>
      <protection hidden="1"/>
    </xf>
    <xf numFmtId="0" fontId="0" fillId="40" borderId="37" xfId="0" applyFill="1" applyBorder="1" applyAlignment="1" applyProtection="1">
      <alignment/>
      <protection hidden="1"/>
    </xf>
    <xf numFmtId="0" fontId="0" fillId="40" borderId="38" xfId="0" applyFill="1" applyBorder="1" applyAlignment="1" applyProtection="1">
      <alignment/>
      <protection hidden="1"/>
    </xf>
    <xf numFmtId="0" fontId="0" fillId="40" borderId="0" xfId="0" applyFill="1" applyBorder="1" applyAlignment="1" applyProtection="1">
      <alignment/>
      <protection hidden="1"/>
    </xf>
    <xf numFmtId="0" fontId="0" fillId="40" borderId="39" xfId="0" applyFill="1" applyBorder="1" applyAlignment="1" applyProtection="1">
      <alignment/>
      <protection hidden="1"/>
    </xf>
    <xf numFmtId="0" fontId="0" fillId="40" borderId="40" xfId="0" applyFill="1" applyBorder="1" applyAlignment="1" applyProtection="1">
      <alignment/>
      <protection hidden="1"/>
    </xf>
    <xf numFmtId="0" fontId="0" fillId="40" borderId="41" xfId="0" applyFill="1" applyBorder="1" applyAlignment="1" applyProtection="1">
      <alignment/>
      <protection hidden="1"/>
    </xf>
    <xf numFmtId="0" fontId="0" fillId="40" borderId="42" xfId="0" applyFill="1" applyBorder="1" applyAlignment="1" applyProtection="1">
      <alignment/>
      <protection hidden="1"/>
    </xf>
    <xf numFmtId="0" fontId="64" fillId="40" borderId="0" xfId="0" applyFont="1" applyFill="1" applyBorder="1" applyAlignment="1" applyProtection="1">
      <alignment horizontal="left"/>
      <protection hidden="1"/>
    </xf>
    <xf numFmtId="0" fontId="65" fillId="40" borderId="0" xfId="0" applyFont="1" applyFill="1" applyBorder="1" applyAlignment="1" applyProtection="1">
      <alignment horizontal="left"/>
      <protection hidden="1"/>
    </xf>
    <xf numFmtId="0" fontId="65" fillId="40" borderId="0" xfId="0" applyFont="1" applyFill="1" applyBorder="1" applyAlignment="1" applyProtection="1">
      <alignment/>
      <protection hidden="1"/>
    </xf>
    <xf numFmtId="0" fontId="1" fillId="40" borderId="0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 horizontal="right"/>
      <protection hidden="1"/>
    </xf>
    <xf numFmtId="0" fontId="0" fillId="40" borderId="0" xfId="0" applyFill="1" applyBorder="1" applyAlignment="1" applyProtection="1">
      <alignment horizontal="left"/>
      <protection hidden="1"/>
    </xf>
    <xf numFmtId="0" fontId="0" fillId="40" borderId="34" xfId="0" applyFill="1" applyBorder="1" applyAlignment="1" applyProtection="1">
      <alignment/>
      <protection hidden="1"/>
    </xf>
    <xf numFmtId="0" fontId="0" fillId="34" borderId="0" xfId="0" applyFill="1" applyBorder="1" applyAlignment="1" applyProtection="1" quotePrefix="1">
      <alignment horizontal="center"/>
      <protection hidden="1"/>
    </xf>
    <xf numFmtId="0" fontId="0" fillId="40" borderId="34" xfId="0" applyFill="1" applyBorder="1" applyAlignment="1" applyProtection="1">
      <alignment horizontal="left"/>
      <protection hidden="1"/>
    </xf>
    <xf numFmtId="0" fontId="66" fillId="40" borderId="12" xfId="0" applyFont="1" applyFill="1" applyBorder="1" applyAlignment="1" applyProtection="1">
      <alignment/>
      <protection hidden="1"/>
    </xf>
    <xf numFmtId="0" fontId="0" fillId="40" borderId="13" xfId="0" applyFill="1" applyBorder="1" applyAlignment="1" applyProtection="1">
      <alignment/>
      <protection hidden="1"/>
    </xf>
    <xf numFmtId="0" fontId="0" fillId="40" borderId="12" xfId="0" applyFill="1" applyBorder="1" applyAlignment="1" applyProtection="1">
      <alignment/>
      <protection hidden="1"/>
    </xf>
    <xf numFmtId="0" fontId="0" fillId="40" borderId="19" xfId="0" applyFill="1" applyBorder="1" applyAlignment="1" applyProtection="1">
      <alignment/>
      <protection hidden="1"/>
    </xf>
    <xf numFmtId="0" fontId="0" fillId="40" borderId="14" xfId="0" applyFill="1" applyBorder="1" applyAlignment="1" applyProtection="1">
      <alignment/>
      <protection hidden="1"/>
    </xf>
    <xf numFmtId="0" fontId="0" fillId="40" borderId="21" xfId="0" applyFill="1" applyBorder="1" applyAlignment="1" applyProtection="1">
      <alignment/>
      <protection hidden="1"/>
    </xf>
    <xf numFmtId="0" fontId="66" fillId="40" borderId="15" xfId="0" applyFont="1" applyFill="1" applyBorder="1" applyAlignment="1" applyProtection="1">
      <alignment/>
      <protection hidden="1"/>
    </xf>
    <xf numFmtId="0" fontId="0" fillId="40" borderId="16" xfId="0" applyFill="1" applyBorder="1" applyAlignment="1" applyProtection="1">
      <alignment/>
      <protection hidden="1"/>
    </xf>
    <xf numFmtId="0" fontId="0" fillId="40" borderId="15" xfId="0" applyFill="1" applyBorder="1" applyAlignment="1" applyProtection="1">
      <alignment/>
      <protection hidden="1"/>
    </xf>
    <xf numFmtId="0" fontId="65" fillId="40" borderId="20" xfId="0" applyFont="1" applyFill="1" applyBorder="1" applyAlignment="1" applyProtection="1">
      <alignment/>
      <protection hidden="1"/>
    </xf>
    <xf numFmtId="0" fontId="0" fillId="40" borderId="0" xfId="0" applyFill="1" applyAlignment="1" applyProtection="1">
      <alignment/>
      <protection hidden="1"/>
    </xf>
    <xf numFmtId="0" fontId="39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hidden="1"/>
    </xf>
    <xf numFmtId="0" fontId="72" fillId="4" borderId="10" xfId="0" applyFont="1" applyFill="1" applyBorder="1" applyAlignment="1" applyProtection="1">
      <alignment vertical="center"/>
      <protection locked="0"/>
    </xf>
    <xf numFmtId="0" fontId="73" fillId="4" borderId="11" xfId="0" applyFont="1" applyFill="1" applyBorder="1" applyAlignment="1" applyProtection="1">
      <alignment vertical="center"/>
      <protection hidden="1"/>
    </xf>
    <xf numFmtId="0" fontId="65" fillId="4" borderId="11" xfId="0" applyFont="1" applyFill="1" applyBorder="1" applyAlignment="1" applyProtection="1">
      <alignment vertical="center"/>
      <protection hidden="1"/>
    </xf>
    <xf numFmtId="0" fontId="1" fillId="4" borderId="11" xfId="0" applyFont="1" applyFill="1" applyBorder="1" applyAlignment="1" applyProtection="1">
      <alignment vertical="center"/>
      <protection hidden="1"/>
    </xf>
    <xf numFmtId="0" fontId="65" fillId="0" borderId="0" xfId="0" applyFont="1" applyAlignment="1" applyProtection="1">
      <alignment/>
      <protection hidden="1"/>
    </xf>
    <xf numFmtId="0" fontId="65" fillId="4" borderId="11" xfId="0" applyFont="1" applyFill="1" applyBorder="1" applyAlignment="1" applyProtection="1">
      <alignment/>
      <protection hidden="1"/>
    </xf>
    <xf numFmtId="0" fontId="65" fillId="4" borderId="18" xfId="0" applyFont="1" applyFill="1" applyBorder="1" applyAlignment="1" applyProtection="1">
      <alignment/>
      <protection hidden="1"/>
    </xf>
    <xf numFmtId="213" fontId="75" fillId="39" borderId="43" xfId="0" applyNumberFormat="1" applyFont="1" applyFill="1" applyBorder="1" applyAlignment="1" applyProtection="1">
      <alignment horizontal="left"/>
      <protection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30" fillId="39" borderId="10" xfId="0" applyFont="1" applyFill="1" applyBorder="1" applyAlignment="1" applyProtection="1">
      <alignment horizontal="center" vertical="center"/>
      <protection hidden="1"/>
    </xf>
    <xf numFmtId="0" fontId="30" fillId="39" borderId="11" xfId="0" applyFont="1" applyFill="1" applyBorder="1" applyAlignment="1" applyProtection="1">
      <alignment horizontal="center" vertical="center"/>
      <protection hidden="1"/>
    </xf>
    <xf numFmtId="0" fontId="30" fillId="39" borderId="18" xfId="0" applyFont="1" applyFill="1" applyBorder="1" applyAlignment="1" applyProtection="1">
      <alignment horizontal="center" vertical="center"/>
      <protection hidden="1"/>
    </xf>
    <xf numFmtId="0" fontId="60" fillId="0" borderId="14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8" fillId="4" borderId="0" xfId="0" applyFont="1" applyFill="1" applyAlignment="1" applyProtection="1">
      <alignment horizontal="left"/>
      <protection locked="0"/>
    </xf>
    <xf numFmtId="0" fontId="4" fillId="36" borderId="0" xfId="0" applyFont="1" applyFill="1" applyAlignment="1" applyProtection="1">
      <alignment horizontal="center"/>
      <protection hidden="1"/>
    </xf>
    <xf numFmtId="0" fontId="8" fillId="4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hidden="1"/>
    </xf>
    <xf numFmtId="0" fontId="4" fillId="34" borderId="0" xfId="0" applyFont="1" applyFill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 vertical="center"/>
      <protection hidden="1"/>
    </xf>
    <xf numFmtId="0" fontId="4" fillId="0" borderId="46" xfId="0" applyFont="1" applyBorder="1" applyAlignment="1" applyProtection="1">
      <alignment horizontal="center" vertical="center"/>
      <protection hidden="1"/>
    </xf>
    <xf numFmtId="0" fontId="4" fillId="0" borderId="4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8" fillId="35" borderId="12" xfId="0" applyFont="1" applyFill="1" applyBorder="1" applyAlignment="1" applyProtection="1">
      <alignment horizontal="center" vertical="center"/>
      <protection hidden="1"/>
    </xf>
    <xf numFmtId="0" fontId="8" fillId="35" borderId="13" xfId="0" applyFont="1" applyFill="1" applyBorder="1" applyAlignment="1" applyProtection="1">
      <alignment horizontal="center" vertical="center"/>
      <protection hidden="1"/>
    </xf>
    <xf numFmtId="0" fontId="8" fillId="35" borderId="15" xfId="0" applyFont="1" applyFill="1" applyBorder="1" applyAlignment="1" applyProtection="1">
      <alignment horizontal="center" vertical="center"/>
      <protection hidden="1"/>
    </xf>
    <xf numFmtId="0" fontId="8" fillId="35" borderId="16" xfId="0" applyFont="1" applyFill="1" applyBorder="1" applyAlignment="1" applyProtection="1">
      <alignment horizontal="center" vertical="center"/>
      <protection hidden="1"/>
    </xf>
    <xf numFmtId="1" fontId="36" fillId="35" borderId="48" xfId="0" applyNumberFormat="1" applyFont="1" applyFill="1" applyBorder="1" applyAlignment="1" applyProtection="1">
      <alignment horizontal="center" vertical="center"/>
      <protection hidden="1"/>
    </xf>
    <xf numFmtId="1" fontId="36" fillId="35" borderId="49" xfId="0" applyNumberFormat="1" applyFont="1" applyFill="1" applyBorder="1" applyAlignment="1" applyProtection="1">
      <alignment horizontal="center" vertical="center"/>
      <protection hidden="1"/>
    </xf>
    <xf numFmtId="0" fontId="21" fillId="0" borderId="31" xfId="0" applyFont="1" applyFill="1" applyBorder="1" applyAlignment="1" applyProtection="1">
      <alignment horizontal="center" vertical="center"/>
      <protection hidden="1"/>
    </xf>
    <xf numFmtId="0" fontId="21" fillId="0" borderId="30" xfId="0" applyFont="1" applyFill="1" applyBorder="1" applyAlignment="1" applyProtection="1">
      <alignment horizontal="center" vertical="center"/>
      <protection hidden="1"/>
    </xf>
    <xf numFmtId="0" fontId="21" fillId="0" borderId="44" xfId="0" applyFont="1" applyFill="1" applyBorder="1" applyAlignment="1" applyProtection="1">
      <alignment horizontal="center" vertical="center"/>
      <protection hidden="1"/>
    </xf>
    <xf numFmtId="1" fontId="58" fillId="0" borderId="22" xfId="0" applyNumberFormat="1" applyFont="1" applyFill="1" applyBorder="1" applyAlignment="1" applyProtection="1">
      <alignment horizontal="center" vertical="center"/>
      <protection hidden="1"/>
    </xf>
    <xf numFmtId="1" fontId="58" fillId="0" borderId="24" xfId="0" applyNumberFormat="1" applyFont="1" applyFill="1" applyBorder="1" applyAlignment="1" applyProtection="1">
      <alignment horizontal="center" vertical="center"/>
      <protection hidden="1"/>
    </xf>
    <xf numFmtId="1" fontId="58" fillId="0" borderId="27" xfId="0" applyNumberFormat="1" applyFont="1" applyFill="1" applyBorder="1" applyAlignment="1" applyProtection="1">
      <alignment horizontal="center" vertical="center"/>
      <protection hidden="1"/>
    </xf>
    <xf numFmtId="1" fontId="58" fillId="0" borderId="29" xfId="0" applyNumberFormat="1" applyFont="1" applyFill="1" applyBorder="1" applyAlignment="1" applyProtection="1">
      <alignment horizontal="center" vertical="center"/>
      <protection hidden="1"/>
    </xf>
    <xf numFmtId="0" fontId="74" fillId="33" borderId="50" xfId="0" applyFont="1" applyFill="1" applyBorder="1" applyAlignment="1" applyProtection="1">
      <alignment horizontal="center" vertical="center"/>
      <protection hidden="1"/>
    </xf>
    <xf numFmtId="0" fontId="74" fillId="33" borderId="51" xfId="0" applyFont="1" applyFill="1" applyBorder="1" applyAlignment="1" applyProtection="1">
      <alignment horizontal="center" vertical="center"/>
      <protection hidden="1"/>
    </xf>
    <xf numFmtId="1" fontId="36" fillId="0" borderId="48" xfId="0" applyNumberFormat="1" applyFont="1" applyFill="1" applyBorder="1" applyAlignment="1" applyProtection="1">
      <alignment horizontal="center" vertical="center"/>
      <protection locked="0"/>
    </xf>
    <xf numFmtId="1" fontId="36" fillId="0" borderId="4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/>
    </xf>
    <xf numFmtId="0" fontId="4" fillId="33" borderId="17" xfId="0" applyFont="1" applyFill="1" applyBorder="1" applyAlignment="1" applyProtection="1">
      <alignment horizontal="center"/>
      <protection hidden="1"/>
    </xf>
    <xf numFmtId="0" fontId="32" fillId="33" borderId="10" xfId="0" applyFont="1" applyFill="1" applyBorder="1" applyAlignment="1" applyProtection="1">
      <alignment horizontal="center" vertical="center"/>
      <protection hidden="1"/>
    </xf>
    <xf numFmtId="0" fontId="15" fillId="4" borderId="45" xfId="0" applyFont="1" applyFill="1" applyBorder="1" applyAlignment="1" applyProtection="1">
      <alignment horizontal="center" vertical="center"/>
      <protection locked="0"/>
    </xf>
    <xf numFmtId="0" fontId="15" fillId="4" borderId="47" xfId="0" applyFont="1" applyFill="1" applyBorder="1" applyAlignment="1" applyProtection="1">
      <alignment horizontal="center" vertical="center"/>
      <protection locked="0"/>
    </xf>
    <xf numFmtId="0" fontId="21" fillId="33" borderId="17" xfId="0" applyFont="1" applyFill="1" applyBorder="1" applyAlignment="1" applyProtection="1">
      <alignment horizontal="center"/>
      <protection hidden="1"/>
    </xf>
    <xf numFmtId="1" fontId="4" fillId="33" borderId="17" xfId="0" applyNumberFormat="1" applyFont="1" applyFill="1" applyBorder="1" applyAlignment="1" applyProtection="1">
      <alignment horizontal="center"/>
      <protection hidden="1"/>
    </xf>
    <xf numFmtId="1" fontId="8" fillId="0" borderId="15" xfId="0" applyNumberFormat="1" applyFont="1" applyBorder="1" applyAlignment="1" applyProtection="1">
      <alignment horizontal="center"/>
      <protection hidden="1"/>
    </xf>
    <xf numFmtId="1" fontId="8" fillId="0" borderId="20" xfId="0" applyNumberFormat="1" applyFont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center"/>
      <protection hidden="1"/>
    </xf>
    <xf numFmtId="0" fontId="8" fillId="0" borderId="19" xfId="0" applyFont="1" applyBorder="1" applyAlignment="1" applyProtection="1">
      <alignment horizontal="center"/>
      <protection hidden="1"/>
    </xf>
    <xf numFmtId="0" fontId="33" fillId="0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186" fontId="15" fillId="0" borderId="0" xfId="0" applyNumberFormat="1" applyFont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186" fontId="4" fillId="0" borderId="0" xfId="0" applyNumberFormat="1" applyFont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2" fontId="8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42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1" fontId="34" fillId="0" borderId="0" xfId="0" applyNumberFormat="1" applyFont="1" applyAlignment="1" applyProtection="1">
      <alignment horizontal="left"/>
      <protection hidden="1"/>
    </xf>
    <xf numFmtId="2" fontId="4" fillId="0" borderId="0" xfId="0" applyNumberFormat="1" applyFont="1" applyBorder="1" applyAlignment="1" applyProtection="1">
      <alignment horizontal="center"/>
      <protection hidden="1"/>
    </xf>
    <xf numFmtId="1" fontId="29" fillId="0" borderId="0" xfId="0" applyNumberFormat="1" applyFont="1" applyAlignment="1" applyProtection="1">
      <alignment horizontal="right"/>
      <protection hidden="1"/>
    </xf>
    <xf numFmtId="1" fontId="4" fillId="0" borderId="0" xfId="0" applyNumberFormat="1" applyFont="1" applyAlignment="1" applyProtection="1">
      <alignment horizontal="right"/>
      <protection hidden="1"/>
    </xf>
    <xf numFmtId="49" fontId="45" fillId="0" borderId="0" xfId="0" applyNumberFormat="1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4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85" fontId="41" fillId="0" borderId="0" xfId="0" applyNumberFormat="1" applyFont="1" applyBorder="1" applyAlignment="1" applyProtection="1">
      <alignment horizontal="center"/>
      <protection hidden="1"/>
    </xf>
    <xf numFmtId="0" fontId="45" fillId="0" borderId="0" xfId="0" applyFont="1" applyAlignment="1" applyProtection="1">
      <alignment horizontal="center"/>
      <protection hidden="1"/>
    </xf>
    <xf numFmtId="7" fontId="27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/>
      <protection locked="0"/>
    </xf>
    <xf numFmtId="0" fontId="40" fillId="0" borderId="0" xfId="0" applyNumberFormat="1" applyFont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2" fontId="4" fillId="0" borderId="0" xfId="0" applyNumberFormat="1" applyFont="1" applyAlignment="1" applyProtection="1">
      <alignment horizontal="left"/>
      <protection hidden="1"/>
    </xf>
    <xf numFmtId="2" fontId="15" fillId="0" borderId="0" xfId="0" applyNumberFormat="1" applyFont="1" applyAlignment="1" applyProtection="1">
      <alignment horizontal="left"/>
      <protection hidden="1"/>
    </xf>
    <xf numFmtId="2" fontId="62" fillId="0" borderId="0" xfId="0" applyNumberFormat="1" applyFont="1" applyAlignment="1">
      <alignment horizontal="left" vertical="center"/>
    </xf>
    <xf numFmtId="186" fontId="8" fillId="0" borderId="0" xfId="0" applyNumberFormat="1" applyFont="1" applyAlignment="1" applyProtection="1">
      <alignment horizontal="center"/>
      <protection hidden="1"/>
    </xf>
    <xf numFmtId="0" fontId="50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2" fillId="0" borderId="0" xfId="0" applyFont="1" applyAlignment="1" applyProtection="1">
      <alignment horizontal="left"/>
      <protection hidden="1"/>
    </xf>
    <xf numFmtId="0" fontId="46" fillId="0" borderId="0" xfId="0" applyFont="1" applyAlignment="1">
      <alignment horizontal="center"/>
    </xf>
    <xf numFmtId="3" fontId="5" fillId="0" borderId="0" xfId="0" applyNumberFormat="1" applyFont="1" applyAlignment="1" applyProtection="1">
      <alignment horizontal="left"/>
      <protection hidden="1"/>
    </xf>
    <xf numFmtId="212" fontId="4" fillId="0" borderId="0" xfId="0" applyNumberFormat="1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16" fillId="0" borderId="0" xfId="0" applyFont="1" applyAlignment="1" applyProtection="1">
      <alignment horizontal="left" vertical="center"/>
      <protection locked="0"/>
    </xf>
    <xf numFmtId="0" fontId="29" fillId="0" borderId="22" xfId="0" applyFont="1" applyBorder="1" applyAlignment="1" applyProtection="1">
      <alignment horizontal="center" vertical="center"/>
      <protection hidden="1"/>
    </xf>
    <xf numFmtId="0" fontId="29" fillId="0" borderId="23" xfId="0" applyFont="1" applyBorder="1" applyAlignment="1" applyProtection="1">
      <alignment horizontal="center" vertical="center"/>
      <protection hidden="1"/>
    </xf>
    <xf numFmtId="0" fontId="29" fillId="0" borderId="24" xfId="0" applyFont="1" applyBorder="1" applyAlignment="1" applyProtection="1">
      <alignment horizontal="center" vertical="center"/>
      <protection hidden="1"/>
    </xf>
    <xf numFmtId="0" fontId="29" fillId="0" borderId="27" xfId="0" applyFont="1" applyBorder="1" applyAlignment="1" applyProtection="1">
      <alignment horizontal="center" vertical="center"/>
      <protection hidden="1"/>
    </xf>
    <xf numFmtId="0" fontId="29" fillId="0" borderId="28" xfId="0" applyFont="1" applyBorder="1" applyAlignment="1" applyProtection="1">
      <alignment horizontal="center" vertical="center"/>
      <protection hidden="1"/>
    </xf>
    <xf numFmtId="0" fontId="29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/>
      <protection locked="0"/>
    </xf>
    <xf numFmtId="0" fontId="67" fillId="0" borderId="41" xfId="0" applyFont="1" applyBorder="1" applyAlignment="1" applyProtection="1">
      <alignment horizontal="right"/>
      <protection hidden="1"/>
    </xf>
    <xf numFmtId="0" fontId="67" fillId="0" borderId="42" xfId="0" applyFont="1" applyBorder="1" applyAlignment="1" applyProtection="1">
      <alignment horizontal="right"/>
      <protection hidden="1"/>
    </xf>
    <xf numFmtId="0" fontId="66" fillId="40" borderId="14" xfId="0" applyFont="1" applyFill="1" applyBorder="1" applyAlignment="1" applyProtection="1">
      <alignment horizontal="left"/>
      <protection hidden="1"/>
    </xf>
    <xf numFmtId="0" fontId="66" fillId="40" borderId="0" xfId="0" applyFont="1" applyFill="1" applyBorder="1" applyAlignment="1" applyProtection="1">
      <alignment horizontal="left"/>
      <protection hidden="1"/>
    </xf>
    <xf numFmtId="0" fontId="66" fillId="40" borderId="21" xfId="0" applyFont="1" applyFill="1" applyBorder="1" applyAlignment="1" applyProtection="1">
      <alignment horizontal="left"/>
      <protection hidden="1"/>
    </xf>
    <xf numFmtId="0" fontId="66" fillId="40" borderId="14" xfId="0" applyFont="1" applyFill="1" applyBorder="1" applyAlignment="1" applyProtection="1">
      <alignment horizontal="center"/>
      <protection hidden="1"/>
    </xf>
    <xf numFmtId="0" fontId="66" fillId="40" borderId="0" xfId="0" applyFont="1" applyFill="1" applyBorder="1" applyAlignment="1" applyProtection="1">
      <alignment horizontal="center"/>
      <protection hidden="1"/>
    </xf>
    <xf numFmtId="0" fontId="66" fillId="40" borderId="21" xfId="0" applyFont="1" applyFill="1" applyBorder="1" applyAlignment="1" applyProtection="1">
      <alignment horizontal="center"/>
      <protection hidden="1"/>
    </xf>
    <xf numFmtId="0" fontId="66" fillId="40" borderId="14" xfId="0" applyFont="1" applyFill="1" applyBorder="1" applyAlignment="1" applyProtection="1">
      <alignment horizontal="left"/>
      <protection locked="0"/>
    </xf>
    <xf numFmtId="0" fontId="66" fillId="40" borderId="0" xfId="0" applyFont="1" applyFill="1" applyBorder="1" applyAlignment="1" applyProtection="1">
      <alignment horizontal="left"/>
      <protection locked="0"/>
    </xf>
    <xf numFmtId="0" fontId="66" fillId="0" borderId="0" xfId="0" applyFont="1" applyFill="1" applyBorder="1" applyAlignment="1" applyProtection="1">
      <alignment horizontal="center"/>
      <protection hidden="1"/>
    </xf>
    <xf numFmtId="0" fontId="66" fillId="0" borderId="0" xfId="0" applyFont="1" applyBorder="1" applyAlignment="1" applyProtection="1">
      <alignment horizontal="center"/>
      <protection hidden="1"/>
    </xf>
    <xf numFmtId="0" fontId="66" fillId="0" borderId="21" xfId="0" applyFont="1" applyBorder="1" applyAlignment="1" applyProtection="1">
      <alignment horizontal="center"/>
      <protection hidden="1"/>
    </xf>
    <xf numFmtId="0" fontId="0" fillId="40" borderId="52" xfId="0" applyFill="1" applyBorder="1" applyAlignment="1" applyProtection="1">
      <alignment/>
      <protection hidden="1"/>
    </xf>
    <xf numFmtId="0" fontId="0" fillId="40" borderId="53" xfId="0" applyFill="1" applyBorder="1" applyAlignment="1" applyProtection="1">
      <alignment/>
      <protection hidden="1"/>
    </xf>
    <xf numFmtId="0" fontId="0" fillId="40" borderId="54" xfId="0" applyFill="1" applyBorder="1" applyAlignment="1" applyProtection="1">
      <alignment/>
      <protection hidden="1"/>
    </xf>
    <xf numFmtId="0" fontId="0" fillId="40" borderId="55" xfId="0" applyFill="1" applyBorder="1" applyAlignment="1" applyProtection="1">
      <alignment/>
      <protection hidden="1"/>
    </xf>
    <xf numFmtId="0" fontId="0" fillId="40" borderId="56" xfId="0" applyFill="1" applyBorder="1" applyAlignment="1" applyProtection="1">
      <alignment/>
      <protection hidden="1"/>
    </xf>
    <xf numFmtId="0" fontId="66" fillId="0" borderId="13" xfId="0" applyFont="1" applyBorder="1" applyAlignment="1" applyProtection="1">
      <alignment horizontal="left"/>
      <protection locked="0"/>
    </xf>
    <xf numFmtId="0" fontId="0" fillId="40" borderId="57" xfId="0" applyFill="1" applyBorder="1" applyAlignment="1" applyProtection="1">
      <alignment horizontal="center"/>
      <protection hidden="1"/>
    </xf>
    <xf numFmtId="0" fontId="0" fillId="40" borderId="34" xfId="0" applyFill="1" applyBorder="1" applyAlignment="1" applyProtection="1">
      <alignment horizontal="left"/>
      <protection hidden="1"/>
    </xf>
    <xf numFmtId="0" fontId="0" fillId="40" borderId="55" xfId="0" applyFill="1" applyBorder="1" applyAlignment="1" applyProtection="1">
      <alignment horizontal="left"/>
      <protection hidden="1"/>
    </xf>
    <xf numFmtId="0" fontId="0" fillId="40" borderId="55" xfId="0" applyFill="1" applyBorder="1" applyAlignment="1" applyProtection="1">
      <alignment horizontal="center"/>
      <protection hidden="1"/>
    </xf>
    <xf numFmtId="0" fontId="0" fillId="40" borderId="54" xfId="0" applyFill="1" applyBorder="1" applyAlignment="1" applyProtection="1">
      <alignment horizontal="left"/>
      <protection hidden="1"/>
    </xf>
    <xf numFmtId="0" fontId="0" fillId="40" borderId="56" xfId="0" applyFill="1" applyBorder="1" applyAlignment="1" applyProtection="1">
      <alignment horizontal="left"/>
      <protection hidden="1"/>
    </xf>
    <xf numFmtId="0" fontId="0" fillId="40" borderId="34" xfId="0" applyFill="1" applyBorder="1" applyAlignment="1" applyProtection="1">
      <alignment/>
      <protection hidden="1"/>
    </xf>
    <xf numFmtId="0" fontId="0" fillId="40" borderId="55" xfId="0" applyFill="1" applyBorder="1" applyAlignment="1" applyProtection="1">
      <alignment horizontal="center"/>
      <protection locked="0"/>
    </xf>
    <xf numFmtId="0" fontId="63" fillId="40" borderId="0" xfId="0" applyFont="1" applyFill="1" applyBorder="1" applyAlignment="1" applyProtection="1">
      <alignment horizontal="center" vertical="center"/>
      <protection hidden="1"/>
    </xf>
    <xf numFmtId="0" fontId="63" fillId="40" borderId="39" xfId="0" applyFont="1" applyFill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/>
      <protection hidden="1"/>
    </xf>
    <xf numFmtId="0" fontId="5" fillId="0" borderId="58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18" xfId="0" applyFont="1" applyBorder="1" applyAlignment="1" applyProtection="1">
      <alignment horizontal="center"/>
      <protection hidden="1"/>
    </xf>
    <xf numFmtId="2" fontId="5" fillId="0" borderId="0" xfId="0" applyNumberFormat="1" applyFont="1" applyAlignment="1" applyProtection="1">
      <alignment horizontal="center"/>
      <protection hidden="1"/>
    </xf>
    <xf numFmtId="0" fontId="5" fillId="0" borderId="25" xfId="0" applyFont="1" applyBorder="1" applyAlignment="1" applyProtection="1">
      <alignment horizontal="center"/>
      <protection hidden="1"/>
    </xf>
    <xf numFmtId="0" fontId="5" fillId="0" borderId="26" xfId="0" applyFont="1" applyBorder="1" applyAlignment="1" applyProtection="1">
      <alignment horizontal="center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5</xdr:row>
      <xdr:rowOff>266700</xdr:rowOff>
    </xdr:to>
    <xdr:pic>
      <xdr:nvPicPr>
        <xdr:cNvPr id="1" name="Picture 6" descr="LOGO COLEGIO DE TC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2</xdr:row>
      <xdr:rowOff>19050</xdr:rowOff>
    </xdr:from>
    <xdr:to>
      <xdr:col>12</xdr:col>
      <xdr:colOff>0</xdr:colOff>
      <xdr:row>7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47800" y="361950"/>
          <a:ext cx="323850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IMPUESTO DE SELLOS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UBICACIÓN DE BIENES Y PRESTACIONES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Declaracion Jurada
</a:t>
          </a:r>
        </a:p>
      </xdr:txBody>
    </xdr:sp>
    <xdr:clientData/>
  </xdr:twoCellAnchor>
  <xdr:twoCellAnchor>
    <xdr:from>
      <xdr:col>1</xdr:col>
      <xdr:colOff>95250</xdr:colOff>
      <xdr:row>1</xdr:row>
      <xdr:rowOff>133350</xdr:rowOff>
    </xdr:from>
    <xdr:to>
      <xdr:col>3</xdr:col>
      <xdr:colOff>123825</xdr:colOff>
      <xdr:row>7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04800"/>
          <a:ext cx="1104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38100</xdr:colOff>
      <xdr:row>1</xdr:row>
      <xdr:rowOff>0</xdr:rowOff>
    </xdr:from>
    <xdr:ext cx="190500" cy="257175"/>
    <xdr:sp fLocksText="0">
      <xdr:nvSpPr>
        <xdr:cNvPr id="3" name="Text Box 3"/>
        <xdr:cNvSpPr txBox="1">
          <a:spLocks noChangeArrowheads="1"/>
        </xdr:cNvSpPr>
      </xdr:nvSpPr>
      <xdr:spPr>
        <a:xfrm>
          <a:off x="4724400" y="171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twoCellAnchor>
    <xdr:from>
      <xdr:col>12</xdr:col>
      <xdr:colOff>485775</xdr:colOff>
      <xdr:row>1</xdr:row>
      <xdr:rowOff>123825</xdr:rowOff>
    </xdr:from>
    <xdr:to>
      <xdr:col>12</xdr:col>
      <xdr:colOff>723900</xdr:colOff>
      <xdr:row>3</xdr:row>
      <xdr:rowOff>104775</xdr:rowOff>
    </xdr:to>
    <xdr:sp>
      <xdr:nvSpPr>
        <xdr:cNvPr id="4" name="Rectangle 4"/>
        <xdr:cNvSpPr>
          <a:spLocks/>
        </xdr:cNvSpPr>
      </xdr:nvSpPr>
      <xdr:spPr>
        <a:xfrm>
          <a:off x="5172075" y="295275"/>
          <a:ext cx="2381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13</xdr:col>
      <xdr:colOff>38100</xdr:colOff>
      <xdr:row>1</xdr:row>
      <xdr:rowOff>0</xdr:rowOff>
    </xdr:from>
    <xdr:ext cx="190500" cy="257175"/>
    <xdr:sp fLocksText="0">
      <xdr:nvSpPr>
        <xdr:cNvPr id="5" name="Text Box 5"/>
        <xdr:cNvSpPr txBox="1">
          <a:spLocks noChangeArrowheads="1"/>
        </xdr:cNvSpPr>
      </xdr:nvSpPr>
      <xdr:spPr>
        <a:xfrm>
          <a:off x="5448300" y="171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twoCellAnchor>
    <xdr:from>
      <xdr:col>13</xdr:col>
      <xdr:colOff>466725</xdr:colOff>
      <xdr:row>1</xdr:row>
      <xdr:rowOff>123825</xdr:rowOff>
    </xdr:from>
    <xdr:to>
      <xdr:col>13</xdr:col>
      <xdr:colOff>466725</xdr:colOff>
      <xdr:row>3</xdr:row>
      <xdr:rowOff>104775</xdr:rowOff>
    </xdr:to>
    <xdr:sp>
      <xdr:nvSpPr>
        <xdr:cNvPr id="6" name="Rectangle 6"/>
        <xdr:cNvSpPr>
          <a:spLocks/>
        </xdr:cNvSpPr>
      </xdr:nvSpPr>
      <xdr:spPr>
        <a:xfrm>
          <a:off x="5876925" y="2952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1</xdr:col>
      <xdr:colOff>57150</xdr:colOff>
      <xdr:row>13</xdr:row>
      <xdr:rowOff>76200</xdr:rowOff>
    </xdr:from>
    <xdr:ext cx="190500" cy="257175"/>
    <xdr:sp fLocksText="0">
      <xdr:nvSpPr>
        <xdr:cNvPr id="7" name="Text Box 9"/>
        <xdr:cNvSpPr txBox="1">
          <a:spLocks noChangeArrowheads="1"/>
        </xdr:cNvSpPr>
      </xdr:nvSpPr>
      <xdr:spPr>
        <a:xfrm>
          <a:off x="276225" y="22860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3"/>
  <sheetViews>
    <sheetView zoomScalePageLayoutView="0" workbookViewId="0" topLeftCell="A25">
      <selection activeCell="I38" sqref="I38"/>
    </sheetView>
  </sheetViews>
  <sheetFormatPr defaultColWidth="11.421875" defaultRowHeight="12.75"/>
  <cols>
    <col min="7" max="7" width="19.57421875" style="0" customWidth="1"/>
  </cols>
  <sheetData>
    <row r="1" ht="13.5" thickBot="1"/>
    <row r="2" spans="3:5" ht="13.5" thickBot="1">
      <c r="C2" s="446" t="s">
        <v>329</v>
      </c>
      <c r="D2" s="447"/>
      <c r="E2" s="448"/>
    </row>
    <row r="4" spans="1:7" ht="12.75">
      <c r="A4" s="344"/>
      <c r="B4" s="345"/>
      <c r="C4" s="345"/>
      <c r="D4" s="345"/>
      <c r="E4" s="345"/>
      <c r="F4" s="345"/>
      <c r="G4" s="346"/>
    </row>
    <row r="5" spans="1:7" ht="12.75">
      <c r="A5" s="444" t="s">
        <v>305</v>
      </c>
      <c r="B5" s="445"/>
      <c r="C5" s="347"/>
      <c r="D5" s="347"/>
      <c r="E5" s="347"/>
      <c r="F5" s="347"/>
      <c r="G5" s="348"/>
    </row>
    <row r="6" spans="1:7" ht="12.75">
      <c r="A6" s="451" t="s">
        <v>331</v>
      </c>
      <c r="B6" s="449"/>
      <c r="C6" s="449"/>
      <c r="D6" s="449"/>
      <c r="E6" s="449"/>
      <c r="F6" s="449"/>
      <c r="G6" s="450"/>
    </row>
    <row r="7" spans="1:7" ht="12.75">
      <c r="A7" s="350"/>
      <c r="B7" s="449" t="s">
        <v>330</v>
      </c>
      <c r="C7" s="449"/>
      <c r="D7" s="449"/>
      <c r="E7" s="449"/>
      <c r="F7" s="449"/>
      <c r="G7" s="450"/>
    </row>
    <row r="8" spans="1:7" ht="12.75">
      <c r="A8" s="349"/>
      <c r="B8" s="347"/>
      <c r="C8" s="347"/>
      <c r="D8" s="347"/>
      <c r="E8" s="347"/>
      <c r="F8" s="347"/>
      <c r="G8" s="348"/>
    </row>
    <row r="9" spans="1:7" ht="12.75">
      <c r="A9" s="444" t="s">
        <v>307</v>
      </c>
      <c r="B9" s="445"/>
      <c r="C9" s="347"/>
      <c r="D9" s="347"/>
      <c r="E9" s="347"/>
      <c r="F9" s="347"/>
      <c r="G9" s="348"/>
    </row>
    <row r="10" spans="1:11" ht="12.75">
      <c r="A10" s="349" t="s">
        <v>306</v>
      </c>
      <c r="B10" s="347"/>
      <c r="C10" s="347"/>
      <c r="D10" s="347"/>
      <c r="E10" s="347"/>
      <c r="F10" s="347"/>
      <c r="G10" s="348"/>
      <c r="K10" s="365"/>
    </row>
    <row r="11" spans="1:9" ht="12.75">
      <c r="A11" s="349"/>
      <c r="B11" s="347"/>
      <c r="C11" s="347"/>
      <c r="D11" s="347"/>
      <c r="E11" s="347"/>
      <c r="F11" s="347"/>
      <c r="G11" s="348"/>
      <c r="I11" s="365"/>
    </row>
    <row r="12" spans="1:11" ht="12.75">
      <c r="A12" s="444" t="s">
        <v>315</v>
      </c>
      <c r="B12" s="445"/>
      <c r="C12" s="347"/>
      <c r="D12" s="347"/>
      <c r="E12" s="347"/>
      <c r="F12" s="347"/>
      <c r="G12" s="348"/>
      <c r="K12" s="365"/>
    </row>
    <row r="13" spans="1:10" ht="12.75">
      <c r="A13" s="349" t="s">
        <v>308</v>
      </c>
      <c r="B13" s="347"/>
      <c r="C13" s="347"/>
      <c r="D13" s="347"/>
      <c r="E13" s="347"/>
      <c r="F13" s="347"/>
      <c r="G13" s="348"/>
      <c r="I13" s="365"/>
      <c r="J13" s="365"/>
    </row>
    <row r="14" spans="1:7" ht="12.75">
      <c r="A14" s="368" t="s">
        <v>328</v>
      </c>
      <c r="B14" s="369"/>
      <c r="C14" s="369"/>
      <c r="D14" s="369"/>
      <c r="E14" s="369"/>
      <c r="F14" s="128"/>
      <c r="G14" s="348"/>
    </row>
    <row r="15" spans="1:7" ht="12.75">
      <c r="A15" s="349" t="s">
        <v>313</v>
      </c>
      <c r="B15" s="347"/>
      <c r="C15" s="347"/>
      <c r="D15" s="347"/>
      <c r="E15" s="381"/>
      <c r="F15" s="347"/>
      <c r="G15" s="348"/>
    </row>
    <row r="16" spans="1:7" ht="12.75">
      <c r="A16" s="349"/>
      <c r="B16" s="347"/>
      <c r="C16" s="347"/>
      <c r="D16" s="379" t="s">
        <v>272</v>
      </c>
      <c r="E16" s="380"/>
      <c r="F16" s="347"/>
      <c r="G16" s="348"/>
    </row>
    <row r="17" spans="1:7" ht="12.75">
      <c r="A17" s="349"/>
      <c r="B17" s="347"/>
      <c r="C17" s="347"/>
      <c r="D17" s="379" t="s">
        <v>273</v>
      </c>
      <c r="E17" s="380"/>
      <c r="F17" s="347"/>
      <c r="G17" s="348"/>
    </row>
    <row r="18" spans="1:7" ht="12.75">
      <c r="A18" s="349"/>
      <c r="B18" s="347"/>
      <c r="C18" s="347"/>
      <c r="D18" s="379" t="s">
        <v>274</v>
      </c>
      <c r="E18" s="380"/>
      <c r="F18" s="347"/>
      <c r="G18" s="348"/>
    </row>
    <row r="19" spans="1:7" ht="12.75">
      <c r="A19" s="349"/>
      <c r="B19" s="347"/>
      <c r="C19" s="347"/>
      <c r="D19" s="379"/>
      <c r="E19" s="380"/>
      <c r="F19" s="347"/>
      <c r="G19" s="348"/>
    </row>
    <row r="20" spans="1:7" ht="12.75">
      <c r="A20" s="349"/>
      <c r="B20" s="347"/>
      <c r="C20" s="347"/>
      <c r="D20" s="379" t="s">
        <v>318</v>
      </c>
      <c r="E20" s="380"/>
      <c r="F20" s="347"/>
      <c r="G20" s="348"/>
    </row>
    <row r="21" spans="1:7" ht="12.75">
      <c r="A21" s="349"/>
      <c r="B21" s="347"/>
      <c r="C21" s="347"/>
      <c r="D21" s="379" t="s">
        <v>319</v>
      </c>
      <c r="E21" s="380"/>
      <c r="F21" s="347"/>
      <c r="G21" s="348"/>
    </row>
    <row r="22" spans="1:7" ht="12.75">
      <c r="A22" s="349"/>
      <c r="B22" s="347"/>
      <c r="C22" s="347"/>
      <c r="D22" s="379" t="s">
        <v>277</v>
      </c>
      <c r="E22" s="380"/>
      <c r="F22" s="347"/>
      <c r="G22" s="348"/>
    </row>
    <row r="23" spans="1:7" ht="12.75">
      <c r="A23" s="349"/>
      <c r="B23" s="347"/>
      <c r="C23" s="347"/>
      <c r="D23" s="347"/>
      <c r="E23" s="347"/>
      <c r="F23" s="347"/>
      <c r="G23" s="348"/>
    </row>
    <row r="24" spans="1:7" ht="12.75">
      <c r="A24" s="454" t="s">
        <v>320</v>
      </c>
      <c r="B24" s="455"/>
      <c r="C24" s="455"/>
      <c r="D24" s="455"/>
      <c r="E24" s="455"/>
      <c r="F24" s="456"/>
      <c r="G24" s="348"/>
    </row>
    <row r="25" spans="1:7" ht="12.75">
      <c r="A25" s="349"/>
      <c r="B25" s="347"/>
      <c r="C25" s="347"/>
      <c r="D25" s="347"/>
      <c r="E25" s="347"/>
      <c r="F25" s="347"/>
      <c r="G25" s="348"/>
    </row>
    <row r="26" spans="1:7" ht="12.75">
      <c r="A26" s="454" t="s">
        <v>314</v>
      </c>
      <c r="B26" s="455"/>
      <c r="C26" s="455"/>
      <c r="D26" s="455"/>
      <c r="E26" s="455"/>
      <c r="F26" s="456"/>
      <c r="G26" s="348"/>
    </row>
    <row r="27" spans="1:7" ht="12.75">
      <c r="A27" s="349"/>
      <c r="B27" s="347"/>
      <c r="C27" s="347"/>
      <c r="D27" s="347"/>
      <c r="E27" s="347"/>
      <c r="F27" s="347"/>
      <c r="G27" s="348"/>
    </row>
    <row r="28" spans="1:7" ht="12.75">
      <c r="A28" s="444" t="s">
        <v>321</v>
      </c>
      <c r="B28" s="445"/>
      <c r="C28" s="347"/>
      <c r="D28" s="347"/>
      <c r="E28" s="347"/>
      <c r="F28" s="347"/>
      <c r="G28" s="348"/>
    </row>
    <row r="29" spans="1:7" ht="12.75">
      <c r="A29" s="349" t="s">
        <v>309</v>
      </c>
      <c r="B29" s="347"/>
      <c r="C29" s="347"/>
      <c r="D29" s="347"/>
      <c r="E29" s="347"/>
      <c r="F29" s="347"/>
      <c r="G29" s="348"/>
    </row>
    <row r="30" spans="1:7" ht="12.75">
      <c r="A30" s="349"/>
      <c r="B30" s="347"/>
      <c r="C30" s="347"/>
      <c r="D30" s="347"/>
      <c r="E30" s="347"/>
      <c r="F30" s="347"/>
      <c r="G30" s="348"/>
    </row>
    <row r="31" spans="1:7" ht="12.75">
      <c r="A31" s="354" t="s">
        <v>322</v>
      </c>
      <c r="B31" s="347"/>
      <c r="C31" s="347"/>
      <c r="D31" s="347"/>
      <c r="E31" s="347"/>
      <c r="F31" s="347"/>
      <c r="G31" s="348"/>
    </row>
    <row r="32" spans="1:7" ht="12.75">
      <c r="A32" s="354"/>
      <c r="B32" s="437" t="s">
        <v>324</v>
      </c>
      <c r="C32" s="437"/>
      <c r="D32" s="437"/>
      <c r="E32" s="437"/>
      <c r="F32" s="437"/>
      <c r="G32" s="348"/>
    </row>
    <row r="33" spans="1:7" ht="12.75">
      <c r="A33" s="354" t="s">
        <v>332</v>
      </c>
      <c r="B33" s="347"/>
      <c r="C33" s="347"/>
      <c r="D33" s="347"/>
      <c r="E33" s="347"/>
      <c r="F33" s="347"/>
      <c r="G33" s="348"/>
    </row>
    <row r="34" spans="1:7" ht="12.75">
      <c r="A34" s="354" t="s">
        <v>11</v>
      </c>
      <c r="B34" s="437" t="s">
        <v>325</v>
      </c>
      <c r="C34" s="452"/>
      <c r="D34" s="452"/>
      <c r="E34" s="452"/>
      <c r="F34" s="452"/>
      <c r="G34" s="453"/>
    </row>
    <row r="35" spans="1:7" ht="12.75">
      <c r="A35" s="354"/>
      <c r="B35" s="437" t="s">
        <v>323</v>
      </c>
      <c r="C35" s="437"/>
      <c r="D35" s="437"/>
      <c r="E35" s="437"/>
      <c r="F35" s="347"/>
      <c r="G35" s="348"/>
    </row>
    <row r="36" spans="1:7" ht="12.75">
      <c r="A36" s="354"/>
      <c r="B36" s="355" t="s">
        <v>333</v>
      </c>
      <c r="C36" s="347"/>
      <c r="D36" s="347"/>
      <c r="E36" s="347"/>
      <c r="F36" s="347"/>
      <c r="G36" s="348"/>
    </row>
    <row r="37" spans="1:7" ht="12.75">
      <c r="A37" s="436" t="s">
        <v>334</v>
      </c>
      <c r="B37" s="437"/>
      <c r="C37" s="437"/>
      <c r="D37" s="437"/>
      <c r="E37" s="437"/>
      <c r="F37" s="437"/>
      <c r="G37" s="438"/>
    </row>
    <row r="38" spans="1:7" ht="12.75">
      <c r="A38" s="367"/>
      <c r="B38" s="437" t="s">
        <v>326</v>
      </c>
      <c r="C38" s="437"/>
      <c r="D38" s="437"/>
      <c r="E38" s="437"/>
      <c r="F38" s="437"/>
      <c r="G38" s="438"/>
    </row>
    <row r="39" spans="1:7" ht="12.75">
      <c r="A39" s="351"/>
      <c r="B39" s="353"/>
      <c r="C39" s="353"/>
      <c r="D39" s="353"/>
      <c r="E39" s="366"/>
      <c r="F39" s="353"/>
      <c r="G39" s="352"/>
    </row>
    <row r="40" spans="1:7" ht="25.5">
      <c r="A40" s="359" t="s">
        <v>317</v>
      </c>
      <c r="B40" s="360"/>
      <c r="C40" s="360"/>
      <c r="D40" s="360"/>
      <c r="E40" s="360"/>
      <c r="F40" s="361"/>
      <c r="G40" s="362">
        <v>0</v>
      </c>
    </row>
    <row r="41" spans="1:7" ht="12.75">
      <c r="A41" s="204"/>
      <c r="B41" s="205"/>
      <c r="C41" s="205"/>
      <c r="D41" s="205"/>
      <c r="E41" s="205"/>
      <c r="F41" s="206"/>
      <c r="G41" s="370"/>
    </row>
    <row r="42" spans="1:7" ht="20.25">
      <c r="A42" s="441" t="s">
        <v>316</v>
      </c>
      <c r="B42" s="442"/>
      <c r="C42" s="442"/>
      <c r="D42" s="442"/>
      <c r="E42" s="442"/>
      <c r="F42" s="443"/>
      <c r="G42" s="363">
        <v>0</v>
      </c>
    </row>
    <row r="43" spans="1:7" ht="13.5" thickBot="1">
      <c r="A43" s="371"/>
      <c r="B43" s="205"/>
      <c r="C43" s="205"/>
      <c r="D43" s="205"/>
      <c r="E43" s="205"/>
      <c r="F43" s="206"/>
      <c r="G43" s="372"/>
    </row>
    <row r="44" spans="1:7" ht="21" thickBot="1">
      <c r="A44" s="373" t="s">
        <v>136</v>
      </c>
      <c r="B44" s="357"/>
      <c r="C44" s="357"/>
      <c r="D44" s="357"/>
      <c r="E44" s="357"/>
      <c r="F44" s="358"/>
      <c r="G44" s="374">
        <f>IF(G42&gt;G40,G42,'PLANILLA DE CALCULOS '!$H$84)</f>
        <v>0</v>
      </c>
    </row>
    <row r="45" spans="1:7" ht="12.75">
      <c r="A45" s="208"/>
      <c r="B45" s="375"/>
      <c r="C45" s="375"/>
      <c r="D45" s="375"/>
      <c r="E45" s="375"/>
      <c r="F45" s="376"/>
      <c r="G45" s="377"/>
    </row>
    <row r="46" spans="1:7" ht="23.25">
      <c r="A46" s="215" t="str">
        <f>conviertenumletra(G44)</f>
        <v>PESOS  con 00/100 Cvos.</v>
      </c>
      <c r="B46" s="211"/>
      <c r="C46" s="211"/>
      <c r="D46" s="211"/>
      <c r="E46" s="213"/>
      <c r="F46" s="214"/>
      <c r="G46" s="212"/>
    </row>
    <row r="48" spans="1:7" ht="15">
      <c r="A48" s="440" t="s">
        <v>327</v>
      </c>
      <c r="B48" s="440"/>
      <c r="C48" s="440"/>
      <c r="D48" s="440"/>
      <c r="E48" s="440"/>
      <c r="F48" s="440"/>
      <c r="G48" s="440"/>
    </row>
    <row r="49" spans="1:7" ht="12.75">
      <c r="A49" s="439" t="s">
        <v>310</v>
      </c>
      <c r="B49" s="439"/>
      <c r="C49" s="439"/>
      <c r="D49" s="439"/>
      <c r="E49" s="439"/>
      <c r="F49" s="439"/>
      <c r="G49" s="439"/>
    </row>
    <row r="50" spans="1:7" ht="12.75">
      <c r="A50" s="378"/>
      <c r="B50" s="378"/>
      <c r="C50" s="378"/>
      <c r="D50" s="378"/>
      <c r="E50" s="378"/>
      <c r="F50" s="378"/>
      <c r="G50" s="378"/>
    </row>
    <row r="51" spans="1:7" ht="12.75">
      <c r="A51" s="439" t="s">
        <v>335</v>
      </c>
      <c r="B51" s="439"/>
      <c r="C51" s="439"/>
      <c r="D51" s="439"/>
      <c r="E51" s="439"/>
      <c r="F51" s="439"/>
      <c r="G51" s="439"/>
    </row>
    <row r="53" spans="1:7" ht="12.75">
      <c r="A53" s="439" t="s">
        <v>311</v>
      </c>
      <c r="B53" s="439"/>
      <c r="C53" s="439"/>
      <c r="D53" s="439"/>
      <c r="E53" s="439"/>
      <c r="F53" s="439"/>
      <c r="G53" s="439"/>
    </row>
  </sheetData>
  <sheetProtection password="8D16" sheet="1" objects="1" scenarios="1"/>
  <mergeCells count="19">
    <mergeCell ref="B35:E35"/>
    <mergeCell ref="B34:G34"/>
    <mergeCell ref="A12:B12"/>
    <mergeCell ref="A28:B28"/>
    <mergeCell ref="A24:F24"/>
    <mergeCell ref="A26:F26"/>
    <mergeCell ref="A9:B9"/>
    <mergeCell ref="C2:E2"/>
    <mergeCell ref="B7:G7"/>
    <mergeCell ref="A5:B5"/>
    <mergeCell ref="A6:G6"/>
    <mergeCell ref="B32:F32"/>
    <mergeCell ref="A37:G37"/>
    <mergeCell ref="A53:G53"/>
    <mergeCell ref="A48:G48"/>
    <mergeCell ref="A49:G49"/>
    <mergeCell ref="B38:G38"/>
    <mergeCell ref="A51:G51"/>
    <mergeCell ref="A42:F42"/>
  </mergeCells>
  <dataValidations count="1">
    <dataValidation type="list" allowBlank="1" showInputMessage="1" showErrorMessage="1" sqref="E15">
      <formula1>$Z$29:$Z$43</formula1>
    </dataValidation>
  </dataValidations>
  <printOptions horizontalCentered="1"/>
  <pageMargins left="0.8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BI147"/>
  <sheetViews>
    <sheetView tabSelected="1" zoomScalePageLayoutView="0" workbookViewId="0" topLeftCell="A1">
      <selection activeCell="H17" sqref="H17"/>
    </sheetView>
  </sheetViews>
  <sheetFormatPr defaultColWidth="11.421875" defaultRowHeight="12.75"/>
  <cols>
    <col min="1" max="1" width="7.7109375" style="6" customWidth="1"/>
    <col min="2" max="2" width="12.7109375" style="6" customWidth="1"/>
    <col min="3" max="4" width="11.421875" style="6" bestFit="1" customWidth="1"/>
    <col min="5" max="5" width="12.57421875" style="6" customWidth="1"/>
    <col min="6" max="6" width="10.7109375" style="8" customWidth="1"/>
    <col min="7" max="7" width="18.57421875" style="6" customWidth="1"/>
    <col min="8" max="8" width="7.8515625" style="6" customWidth="1"/>
    <col min="9" max="9" width="8.140625" style="6" customWidth="1"/>
    <col min="10" max="10" width="13.57421875" style="6" bestFit="1" customWidth="1"/>
    <col min="11" max="11" width="11.421875" style="6" customWidth="1"/>
    <col min="12" max="12" width="9.140625" style="6" customWidth="1"/>
    <col min="13" max="13" width="26.140625" style="6" customWidth="1"/>
    <col min="14" max="14" width="11.421875" style="6" customWidth="1"/>
    <col min="15" max="22" width="11.421875" style="6" hidden="1" customWidth="1"/>
    <col min="23" max="23" width="14.00390625" style="6" hidden="1" customWidth="1"/>
    <col min="24" max="29" width="11.421875" style="6" hidden="1" customWidth="1"/>
    <col min="30" max="30" width="11.421875" style="63" hidden="1" customWidth="1"/>
    <col min="31" max="34" width="11.421875" style="6" hidden="1" customWidth="1"/>
    <col min="35" max="35" width="11.7109375" style="6" hidden="1" customWidth="1"/>
    <col min="36" max="61" width="11.421875" style="6" hidden="1" customWidth="1"/>
    <col min="62" max="65" width="11.421875" style="6" customWidth="1"/>
    <col min="66" max="16384" width="11.421875" style="6" customWidth="1"/>
  </cols>
  <sheetData>
    <row r="1" spans="3:61" ht="20.25">
      <c r="C1" s="7" t="s">
        <v>27</v>
      </c>
      <c r="D1" s="8"/>
      <c r="E1" s="8"/>
      <c r="M1" s="89"/>
      <c r="N1" s="89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458" t="s">
        <v>177</v>
      </c>
      <c r="Z1" s="458"/>
      <c r="AA1" s="458"/>
      <c r="AB1" s="384"/>
      <c r="AC1" s="384"/>
      <c r="AD1" s="385"/>
      <c r="AE1" s="384"/>
      <c r="AF1" s="384"/>
      <c r="AG1" s="384"/>
      <c r="AH1" s="384"/>
      <c r="AI1" s="384"/>
      <c r="AJ1" s="384"/>
      <c r="AK1" s="384"/>
      <c r="AL1" s="384"/>
      <c r="AM1" s="384"/>
      <c r="AN1" s="384"/>
      <c r="AO1" s="384"/>
      <c r="AP1" s="384"/>
      <c r="AQ1" s="384"/>
      <c r="AR1" s="384"/>
      <c r="AS1" s="384"/>
      <c r="AT1" s="384"/>
      <c r="AU1" s="384"/>
      <c r="AV1" s="384"/>
      <c r="AW1" s="384"/>
      <c r="AX1" s="384"/>
      <c r="AY1" s="384"/>
      <c r="AZ1" s="384"/>
      <c r="BA1" s="384"/>
      <c r="BB1" s="384"/>
      <c r="BC1" s="384"/>
      <c r="BD1" s="384"/>
      <c r="BE1" s="384"/>
      <c r="BF1" s="384"/>
      <c r="BG1" s="384"/>
      <c r="BH1" s="384"/>
      <c r="BI1" s="384"/>
    </row>
    <row r="2" ht="12.75">
      <c r="Z2" s="6" t="s">
        <v>167</v>
      </c>
    </row>
    <row r="3" spans="1:26" ht="12.75">
      <c r="A3" s="9" t="s">
        <v>28</v>
      </c>
      <c r="B3" s="10"/>
      <c r="C3" s="10"/>
      <c r="D3" s="10"/>
      <c r="E3" s="10"/>
      <c r="F3" s="93" t="s">
        <v>312</v>
      </c>
      <c r="G3" s="94"/>
      <c r="H3" s="94"/>
      <c r="I3" s="94"/>
      <c r="Z3" s="6" t="s">
        <v>168</v>
      </c>
    </row>
    <row r="4" spans="1:30" ht="12.75">
      <c r="A4" s="9" t="s">
        <v>29</v>
      </c>
      <c r="B4" s="10"/>
      <c r="C4" s="10"/>
      <c r="D4" s="10"/>
      <c r="E4" s="10"/>
      <c r="F4" s="93" t="s">
        <v>312</v>
      </c>
      <c r="G4" s="94"/>
      <c r="H4" s="94"/>
      <c r="I4" s="94"/>
      <c r="Z4" s="6" t="s">
        <v>169</v>
      </c>
      <c r="AD4" s="217"/>
    </row>
    <row r="5" spans="1:30" ht="12.75">
      <c r="A5" s="11" t="s">
        <v>30</v>
      </c>
      <c r="B5" s="12"/>
      <c r="C5" s="12"/>
      <c r="D5" s="12"/>
      <c r="E5" s="12"/>
      <c r="F5" s="93" t="s">
        <v>312</v>
      </c>
      <c r="G5" s="94"/>
      <c r="H5" s="94"/>
      <c r="I5" s="94"/>
      <c r="Z5" s="6" t="s">
        <v>196</v>
      </c>
      <c r="AD5" s="217"/>
    </row>
    <row r="6" spans="1:30" ht="12.75">
      <c r="A6" s="9" t="s">
        <v>31</v>
      </c>
      <c r="B6" s="10"/>
      <c r="C6" s="10"/>
      <c r="D6" s="10"/>
      <c r="E6" s="10"/>
      <c r="F6" s="93" t="s">
        <v>312</v>
      </c>
      <c r="G6" s="94"/>
      <c r="H6" s="94"/>
      <c r="I6" s="94"/>
      <c r="Z6" s="6" t="s">
        <v>173</v>
      </c>
      <c r="AD6" s="217"/>
    </row>
    <row r="7" spans="1:30" ht="12.75">
      <c r="A7" s="9" t="s">
        <v>32</v>
      </c>
      <c r="B7" s="10"/>
      <c r="C7" s="10"/>
      <c r="D7" s="10"/>
      <c r="E7" s="10"/>
      <c r="F7" s="93" t="s">
        <v>312</v>
      </c>
      <c r="G7" s="94"/>
      <c r="H7" s="94"/>
      <c r="I7" s="94"/>
      <c r="Z7" s="6" t="s">
        <v>174</v>
      </c>
      <c r="AD7" s="217"/>
    </row>
    <row r="8" spans="1:30" ht="12.75">
      <c r="A8" s="11" t="s">
        <v>103</v>
      </c>
      <c r="B8" s="12"/>
      <c r="C8" s="12"/>
      <c r="D8" s="12"/>
      <c r="E8" s="12"/>
      <c r="F8" s="93" t="s">
        <v>312</v>
      </c>
      <c r="G8" s="94"/>
      <c r="H8" s="94"/>
      <c r="I8" s="94"/>
      <c r="Z8" s="6" t="s">
        <v>178</v>
      </c>
      <c r="AD8" s="217"/>
    </row>
    <row r="9" spans="1:30" ht="12.75">
      <c r="A9" s="9" t="s">
        <v>383</v>
      </c>
      <c r="B9" s="10"/>
      <c r="C9" s="10"/>
      <c r="D9" s="10"/>
      <c r="E9" s="10"/>
      <c r="F9" s="93" t="s">
        <v>312</v>
      </c>
      <c r="G9" s="94"/>
      <c r="H9" s="94"/>
      <c r="I9" s="94"/>
      <c r="Z9" s="6" t="s">
        <v>170</v>
      </c>
      <c r="AD9" s="217"/>
    </row>
    <row r="10" spans="1:30" ht="12.75">
      <c r="A10" s="9" t="s">
        <v>384</v>
      </c>
      <c r="B10" s="10"/>
      <c r="C10" s="10"/>
      <c r="D10" s="10"/>
      <c r="E10" s="10"/>
      <c r="F10" s="93" t="s">
        <v>312</v>
      </c>
      <c r="G10" s="94"/>
      <c r="H10" s="94"/>
      <c r="I10" s="94"/>
      <c r="Z10" s="6" t="s">
        <v>176</v>
      </c>
      <c r="AD10" s="217"/>
    </row>
    <row r="11" spans="1:30" ht="12.75">
      <c r="A11" s="9" t="s">
        <v>121</v>
      </c>
      <c r="B11" s="10"/>
      <c r="C11" s="10"/>
      <c r="D11" s="10"/>
      <c r="E11" s="10"/>
      <c r="F11" s="93" t="s">
        <v>312</v>
      </c>
      <c r="G11" s="94"/>
      <c r="H11" s="94"/>
      <c r="I11" s="94"/>
      <c r="Z11" s="6" t="s">
        <v>175</v>
      </c>
      <c r="AD11" s="217"/>
    </row>
    <row r="12" spans="1:30" ht="12.75">
      <c r="A12" s="9" t="s">
        <v>385</v>
      </c>
      <c r="B12" s="10"/>
      <c r="C12" s="10"/>
      <c r="D12" s="10"/>
      <c r="E12" s="10"/>
      <c r="F12" s="93" t="s">
        <v>312</v>
      </c>
      <c r="G12" s="94"/>
      <c r="H12" s="94"/>
      <c r="I12" s="94"/>
      <c r="Z12" s="6" t="s">
        <v>171</v>
      </c>
      <c r="AD12" s="217"/>
    </row>
    <row r="13" spans="1:30" ht="12.75">
      <c r="A13" s="9" t="s">
        <v>386</v>
      </c>
      <c r="B13" s="10"/>
      <c r="C13" s="10"/>
      <c r="D13" s="10"/>
      <c r="E13" s="10"/>
      <c r="F13" s="93" t="s">
        <v>312</v>
      </c>
      <c r="G13" s="94"/>
      <c r="H13" s="94"/>
      <c r="I13" s="94"/>
      <c r="Z13" s="6" t="s">
        <v>172</v>
      </c>
      <c r="AD13" s="217"/>
    </row>
    <row r="14" spans="1:30" ht="12.75">
      <c r="A14" s="9" t="s">
        <v>33</v>
      </c>
      <c r="B14" s="10"/>
      <c r="C14" s="10"/>
      <c r="D14" s="10"/>
      <c r="E14" s="10"/>
      <c r="F14" s="93" t="s">
        <v>132</v>
      </c>
      <c r="G14" s="94"/>
      <c r="H14" s="94"/>
      <c r="I14" s="94"/>
      <c r="T14" s="6" t="s">
        <v>133</v>
      </c>
      <c r="U14" s="6">
        <v>3</v>
      </c>
      <c r="Z14" s="6" t="s">
        <v>179</v>
      </c>
      <c r="AD14" s="217"/>
    </row>
    <row r="15" spans="1:30" ht="12.75">
      <c r="A15" s="9" t="s">
        <v>34</v>
      </c>
      <c r="B15" s="10"/>
      <c r="C15" s="10"/>
      <c r="D15" s="10"/>
      <c r="E15" s="10"/>
      <c r="F15" s="93" t="s">
        <v>312</v>
      </c>
      <c r="G15" s="94"/>
      <c r="H15" s="94"/>
      <c r="I15" s="94"/>
      <c r="U15" s="6">
        <v>5</v>
      </c>
      <c r="AD15" s="217"/>
    </row>
    <row r="16" spans="1:30" ht="12.75">
      <c r="A16" s="11" t="s">
        <v>260</v>
      </c>
      <c r="B16" s="12"/>
      <c r="C16" s="12"/>
      <c r="D16" s="12"/>
      <c r="E16" s="12"/>
      <c r="F16" s="93" t="s">
        <v>312</v>
      </c>
      <c r="G16" s="94"/>
      <c r="H16" s="94"/>
      <c r="I16" s="94"/>
      <c r="AD16" s="217"/>
    </row>
    <row r="17" spans="1:30" ht="12.75">
      <c r="A17" s="9" t="s">
        <v>35</v>
      </c>
      <c r="B17" s="10"/>
      <c r="C17" s="10"/>
      <c r="D17" s="10"/>
      <c r="E17" s="10"/>
      <c r="F17" s="93" t="s">
        <v>312</v>
      </c>
      <c r="G17" s="94"/>
      <c r="H17" s="94"/>
      <c r="I17" s="94"/>
      <c r="AD17" s="217"/>
    </row>
    <row r="18" spans="1:30" ht="12.75">
      <c r="A18" s="11" t="s">
        <v>36</v>
      </c>
      <c r="B18" s="12"/>
      <c r="C18" s="12"/>
      <c r="D18" s="12"/>
      <c r="E18" s="12"/>
      <c r="F18" s="93" t="s">
        <v>312</v>
      </c>
      <c r="G18" s="94"/>
      <c r="H18" s="94"/>
      <c r="I18" s="94"/>
      <c r="R18" s="63"/>
      <c r="S18" s="63"/>
      <c r="T18" s="63"/>
      <c r="AD18" s="217"/>
    </row>
    <row r="19" spans="1:30" ht="12.75">
      <c r="A19" s="9" t="s">
        <v>37</v>
      </c>
      <c r="B19" s="10"/>
      <c r="C19" s="10"/>
      <c r="D19" s="10"/>
      <c r="E19" s="10"/>
      <c r="F19" s="93" t="s">
        <v>312</v>
      </c>
      <c r="G19" s="94"/>
      <c r="H19" s="94"/>
      <c r="I19" s="94"/>
      <c r="R19" s="63"/>
      <c r="S19" s="63"/>
      <c r="T19" s="462" t="s">
        <v>60</v>
      </c>
      <c r="U19" s="135">
        <v>1.2</v>
      </c>
      <c r="W19" s="222" t="s">
        <v>145</v>
      </c>
      <c r="X19" s="221" t="e">
        <f>+IF(#REF!&gt;0,#REF!,0)</f>
        <v>#REF!</v>
      </c>
      <c r="Z19" s="6" t="s">
        <v>272</v>
      </c>
      <c r="AD19" s="217"/>
    </row>
    <row r="20" spans="1:30" ht="12.75">
      <c r="A20" s="9" t="s">
        <v>121</v>
      </c>
      <c r="B20" s="10"/>
      <c r="C20" s="10"/>
      <c r="D20" s="10"/>
      <c r="E20" s="10"/>
      <c r="F20" s="93" t="s">
        <v>312</v>
      </c>
      <c r="G20" s="94"/>
      <c r="H20" s="94"/>
      <c r="I20" s="94"/>
      <c r="R20" s="63"/>
      <c r="S20" s="63"/>
      <c r="T20" s="463"/>
      <c r="U20" s="135"/>
      <c r="W20" s="222"/>
      <c r="X20" s="221"/>
      <c r="Z20" s="6" t="s">
        <v>273</v>
      </c>
      <c r="AD20" s="217"/>
    </row>
    <row r="21" spans="1:30" ht="12.75">
      <c r="A21" s="9" t="s">
        <v>122</v>
      </c>
      <c r="B21" s="10"/>
      <c r="C21" s="10"/>
      <c r="D21" s="10"/>
      <c r="E21" s="10"/>
      <c r="F21" s="93" t="s">
        <v>119</v>
      </c>
      <c r="G21" s="94"/>
      <c r="H21" s="94"/>
      <c r="I21" s="94"/>
      <c r="R21" s="63"/>
      <c r="S21" s="63"/>
      <c r="T21" s="463"/>
      <c r="U21" s="135">
        <v>1.3</v>
      </c>
      <c r="W21" s="222" t="s">
        <v>146</v>
      </c>
      <c r="X21" s="221" t="e">
        <f>+IF(#REF!&gt;0,#REF!,0)</f>
        <v>#REF!</v>
      </c>
      <c r="Z21" s="6" t="s">
        <v>274</v>
      </c>
      <c r="AD21" s="217"/>
    </row>
    <row r="22" spans="1:30" ht="12.75">
      <c r="A22" s="9" t="s">
        <v>38</v>
      </c>
      <c r="B22" s="10"/>
      <c r="C22" s="10"/>
      <c r="D22" s="10"/>
      <c r="E22" s="10"/>
      <c r="F22" s="457" t="s">
        <v>196</v>
      </c>
      <c r="G22" s="457"/>
      <c r="H22" s="457"/>
      <c r="I22" s="457"/>
      <c r="R22" s="63"/>
      <c r="S22" s="63"/>
      <c r="T22" s="463"/>
      <c r="U22" s="135"/>
      <c r="W22" s="222"/>
      <c r="X22" s="221"/>
      <c r="AD22" s="217"/>
    </row>
    <row r="23" spans="1:30" ht="12.75">
      <c r="A23" s="9" t="s">
        <v>39</v>
      </c>
      <c r="B23" s="10"/>
      <c r="C23" s="10"/>
      <c r="D23" s="10"/>
      <c r="E23" s="10"/>
      <c r="F23" s="457" t="s">
        <v>278</v>
      </c>
      <c r="G23" s="457"/>
      <c r="H23" s="457"/>
      <c r="I23" s="457"/>
      <c r="R23" s="63"/>
      <c r="S23" s="63"/>
      <c r="T23" s="463"/>
      <c r="U23" s="135"/>
      <c r="W23" s="222"/>
      <c r="X23" s="221"/>
      <c r="Z23" s="6" t="s">
        <v>275</v>
      </c>
      <c r="AD23" s="217"/>
    </row>
    <row r="24" spans="1:30" ht="12.75">
      <c r="A24" s="9" t="s">
        <v>271</v>
      </c>
      <c r="B24" s="10"/>
      <c r="C24" s="10"/>
      <c r="D24" s="10"/>
      <c r="E24" s="10"/>
      <c r="F24" s="457"/>
      <c r="G24" s="457"/>
      <c r="H24" s="457"/>
      <c r="I24" s="457"/>
      <c r="T24" s="464"/>
      <c r="U24" s="136">
        <v>1.45</v>
      </c>
      <c r="W24" s="222" t="s">
        <v>147</v>
      </c>
      <c r="X24" s="221" t="e">
        <f>+IF(#REF!&gt;0,#REF!,0)</f>
        <v>#REF!</v>
      </c>
      <c r="Z24" s="6" t="s">
        <v>276</v>
      </c>
      <c r="AD24" s="217"/>
    </row>
    <row r="25" spans="1:30" ht="12.75">
      <c r="A25" s="9" t="s">
        <v>297</v>
      </c>
      <c r="B25" s="10"/>
      <c r="C25" s="10"/>
      <c r="D25" s="10"/>
      <c r="E25" s="10"/>
      <c r="F25" s="93" t="s">
        <v>312</v>
      </c>
      <c r="G25" s="94"/>
      <c r="H25" s="94"/>
      <c r="I25" s="94"/>
      <c r="T25" s="223"/>
      <c r="U25" s="84"/>
      <c r="W25" s="222"/>
      <c r="X25" s="221"/>
      <c r="Z25" s="6" t="s">
        <v>277</v>
      </c>
      <c r="AD25" s="217"/>
    </row>
    <row r="26" spans="1:30" ht="12.75">
      <c r="A26" s="9" t="s">
        <v>296</v>
      </c>
      <c r="B26" s="10"/>
      <c r="C26" s="10"/>
      <c r="D26" s="10"/>
      <c r="E26" s="10"/>
      <c r="F26" s="93" t="s">
        <v>312</v>
      </c>
      <c r="G26" s="94"/>
      <c r="H26" s="94"/>
      <c r="I26" s="94"/>
      <c r="W26" s="222" t="s">
        <v>148</v>
      </c>
      <c r="X26" s="221" t="e">
        <f>+IF(#REF!&gt;0,#REF!,0)</f>
        <v>#REF!</v>
      </c>
      <c r="Z26" s="6" t="s">
        <v>279</v>
      </c>
      <c r="AD26" s="217"/>
    </row>
    <row r="27" spans="1:30" ht="12.75">
      <c r="A27" s="9" t="s">
        <v>121</v>
      </c>
      <c r="B27" s="10"/>
      <c r="C27" s="10"/>
      <c r="D27" s="10"/>
      <c r="E27" s="10"/>
      <c r="F27" s="93" t="s">
        <v>312</v>
      </c>
      <c r="G27" s="94"/>
      <c r="H27" s="94"/>
      <c r="I27" s="94"/>
      <c r="V27" s="62"/>
      <c r="W27" s="222" t="s">
        <v>149</v>
      </c>
      <c r="X27" s="221">
        <f>+IF(D111&gt;0,D116,0)</f>
        <v>0</v>
      </c>
      <c r="AD27" s="217"/>
    </row>
    <row r="28" spans="1:30" ht="12.75">
      <c r="A28" s="9" t="s">
        <v>385</v>
      </c>
      <c r="B28" s="10"/>
      <c r="C28" s="10"/>
      <c r="D28" s="10"/>
      <c r="E28" s="10"/>
      <c r="F28" s="93" t="s">
        <v>312</v>
      </c>
      <c r="G28" s="94"/>
      <c r="H28" s="94"/>
      <c r="I28" s="94"/>
      <c r="W28" s="222" t="s">
        <v>150</v>
      </c>
      <c r="X28" s="221" t="e">
        <f>+IF(#REF!&gt;0,#REF!,0)</f>
        <v>#REF!</v>
      </c>
      <c r="AD28" s="217"/>
    </row>
    <row r="29" spans="1:30" ht="12.75">
      <c r="A29" s="9" t="s">
        <v>40</v>
      </c>
      <c r="B29" s="10"/>
      <c r="C29" s="10"/>
      <c r="D29" s="10"/>
      <c r="E29" s="10"/>
      <c r="F29" s="93" t="s">
        <v>312</v>
      </c>
      <c r="G29" s="94"/>
      <c r="H29" s="94"/>
      <c r="I29" s="94"/>
      <c r="T29" s="220" t="s">
        <v>55</v>
      </c>
      <c r="U29" s="221" t="e">
        <f>X29</f>
        <v>#REF!</v>
      </c>
      <c r="V29" s="220"/>
      <c r="W29" s="222"/>
      <c r="X29" s="221" t="e">
        <f>MAX(X19:X28)</f>
        <v>#REF!</v>
      </c>
      <c r="AD29" s="217"/>
    </row>
    <row r="30" spans="1:30" ht="12.75">
      <c r="A30" s="9" t="s">
        <v>204</v>
      </c>
      <c r="B30" s="10"/>
      <c r="C30" s="10"/>
      <c r="D30" s="10"/>
      <c r="E30" s="10"/>
      <c r="F30" s="93" t="s">
        <v>312</v>
      </c>
      <c r="G30" s="94"/>
      <c r="H30" s="94"/>
      <c r="I30" s="94"/>
      <c r="T30" s="220"/>
      <c r="U30" s="221"/>
      <c r="V30" s="220"/>
      <c r="W30" s="222"/>
      <c r="X30" s="221"/>
      <c r="AD30" s="217"/>
    </row>
    <row r="31" spans="1:30" ht="12.75">
      <c r="A31" s="9" t="s">
        <v>41</v>
      </c>
      <c r="B31" s="10"/>
      <c r="C31" s="10"/>
      <c r="D31" s="10"/>
      <c r="E31" s="10"/>
      <c r="F31" s="93" t="s">
        <v>312</v>
      </c>
      <c r="G31" s="94"/>
      <c r="H31" s="94"/>
      <c r="I31" s="94"/>
      <c r="T31" s="220"/>
      <c r="U31" s="221"/>
      <c r="V31" s="220"/>
      <c r="W31" s="222"/>
      <c r="X31" s="221"/>
      <c r="AD31" s="217"/>
    </row>
    <row r="32" spans="1:30" ht="12.75">
      <c r="A32" s="9" t="s">
        <v>42</v>
      </c>
      <c r="B32" s="10"/>
      <c r="C32" s="10"/>
      <c r="D32" s="10"/>
      <c r="E32" s="10"/>
      <c r="F32" s="93" t="s">
        <v>312</v>
      </c>
      <c r="G32" s="94"/>
      <c r="H32" s="94"/>
      <c r="I32" s="94"/>
      <c r="T32" s="220"/>
      <c r="U32" s="221"/>
      <c r="V32" s="220"/>
      <c r="W32" s="222"/>
      <c r="X32" s="221"/>
      <c r="AD32" s="217"/>
    </row>
    <row r="33" spans="1:30" ht="12.75">
      <c r="A33" s="9" t="s">
        <v>43</v>
      </c>
      <c r="B33" s="10"/>
      <c r="C33" s="10"/>
      <c r="D33" s="10"/>
      <c r="E33" s="10"/>
      <c r="F33" s="93" t="s">
        <v>312</v>
      </c>
      <c r="G33" s="94"/>
      <c r="H33" s="94"/>
      <c r="I33" s="94"/>
      <c r="T33" s="220"/>
      <c r="U33" s="221"/>
      <c r="V33" s="220"/>
      <c r="W33" s="222"/>
      <c r="X33" s="221"/>
      <c r="AD33" s="217"/>
    </row>
    <row r="34" spans="1:30" ht="12.75">
      <c r="A34" s="11" t="s">
        <v>44</v>
      </c>
      <c r="B34" s="12"/>
      <c r="C34" s="12"/>
      <c r="D34" s="12"/>
      <c r="E34" s="12"/>
      <c r="F34" s="93" t="s">
        <v>312</v>
      </c>
      <c r="G34" s="94"/>
      <c r="H34" s="94"/>
      <c r="I34" s="94"/>
      <c r="Z34" s="62"/>
      <c r="AD34" s="217"/>
    </row>
    <row r="35" spans="1:30" ht="12.75">
      <c r="A35" s="11" t="s">
        <v>205</v>
      </c>
      <c r="B35" s="12"/>
      <c r="C35" s="12"/>
      <c r="D35" s="12"/>
      <c r="E35" s="12"/>
      <c r="F35" s="93" t="s">
        <v>312</v>
      </c>
      <c r="G35" s="94"/>
      <c r="H35" s="94"/>
      <c r="I35" s="94"/>
      <c r="T35" s="6" t="s">
        <v>56</v>
      </c>
      <c r="U35" s="62" t="e">
        <f>+IF(#REF!&gt;0,#REF!+#REF!,#REF!)</f>
        <v>#REF!</v>
      </c>
      <c r="AD35" s="217"/>
    </row>
    <row r="36" spans="1:30" ht="12.75">
      <c r="A36" s="11" t="s">
        <v>387</v>
      </c>
      <c r="B36" s="12"/>
      <c r="C36" s="12"/>
      <c r="D36" s="12"/>
      <c r="E36" s="12"/>
      <c r="F36" s="93" t="s">
        <v>312</v>
      </c>
      <c r="G36" s="94"/>
      <c r="H36" s="94"/>
      <c r="I36" s="94"/>
      <c r="AD36" s="217"/>
    </row>
    <row r="37" spans="1:30" ht="12.75">
      <c r="A37" s="11" t="s">
        <v>387</v>
      </c>
      <c r="B37" s="12"/>
      <c r="C37" s="12"/>
      <c r="D37" s="12"/>
      <c r="E37" s="12"/>
      <c r="F37" s="93" t="s">
        <v>312</v>
      </c>
      <c r="G37" s="94"/>
      <c r="H37" s="94"/>
      <c r="I37" s="94"/>
      <c r="T37" s="63" t="s">
        <v>59</v>
      </c>
      <c r="U37" s="103" t="e">
        <f>+T46+W46+D110+D88</f>
        <v>#REF!</v>
      </c>
      <c r="AD37" s="217"/>
    </row>
    <row r="38" spans="1:30" ht="12.75">
      <c r="A38" s="11" t="s">
        <v>387</v>
      </c>
      <c r="B38" s="12"/>
      <c r="C38" s="12"/>
      <c r="D38" s="12"/>
      <c r="E38" s="12"/>
      <c r="F38" s="93" t="s">
        <v>312</v>
      </c>
      <c r="G38" s="94"/>
      <c r="H38" s="94"/>
      <c r="I38" s="94"/>
      <c r="M38" s="69"/>
      <c r="N38" s="69"/>
      <c r="O38" s="69"/>
      <c r="P38" s="69"/>
      <c r="T38" s="63" t="s">
        <v>57</v>
      </c>
      <c r="U38" s="104" t="e">
        <f>+T51+W51+D109+D87</f>
        <v>#REF!</v>
      </c>
      <c r="AD38" s="217"/>
    </row>
    <row r="39" spans="1:30" ht="12.75">
      <c r="A39" s="11" t="s">
        <v>45</v>
      </c>
      <c r="B39" s="12"/>
      <c r="C39" s="12"/>
      <c r="D39" s="12"/>
      <c r="E39" s="12"/>
      <c r="F39" s="123" t="s">
        <v>101</v>
      </c>
      <c r="G39" s="94"/>
      <c r="H39" s="94"/>
      <c r="I39" s="94"/>
      <c r="T39" s="89"/>
      <c r="U39" s="89"/>
      <c r="AD39" s="217"/>
    </row>
    <row r="40" spans="1:30" ht="12.75">
      <c r="A40" s="9" t="s">
        <v>46</v>
      </c>
      <c r="B40" s="10"/>
      <c r="C40" s="10"/>
      <c r="D40" s="10"/>
      <c r="E40" s="198"/>
      <c r="F40" s="123" t="s">
        <v>47</v>
      </c>
      <c r="G40" s="94"/>
      <c r="H40" s="94"/>
      <c r="I40" s="94"/>
      <c r="AD40" s="217"/>
    </row>
    <row r="41" spans="1:30" ht="12.75">
      <c r="A41" s="13"/>
      <c r="B41" s="14"/>
      <c r="C41" s="14"/>
      <c r="D41" s="14"/>
      <c r="E41" s="14"/>
      <c r="F41" s="123" t="s">
        <v>48</v>
      </c>
      <c r="G41" s="94"/>
      <c r="H41" s="94"/>
      <c r="I41" s="94"/>
      <c r="R41" s="71"/>
      <c r="AD41" s="217"/>
    </row>
    <row r="42" spans="1:30" ht="12.75">
      <c r="A42" s="15"/>
      <c r="B42" s="16"/>
      <c r="C42" s="16"/>
      <c r="D42" s="16"/>
      <c r="E42" s="16"/>
      <c r="F42" s="123" t="s">
        <v>49</v>
      </c>
      <c r="G42" s="94"/>
      <c r="H42" s="94"/>
      <c r="I42" s="94"/>
      <c r="R42" s="71"/>
      <c r="T42" s="89"/>
      <c r="U42" s="89"/>
      <c r="AD42" s="217"/>
    </row>
    <row r="43" spans="1:30" ht="12.75">
      <c r="A43" s="9" t="s">
        <v>50</v>
      </c>
      <c r="B43" s="10"/>
      <c r="C43" s="10"/>
      <c r="D43" s="10"/>
      <c r="E43" s="10"/>
      <c r="F43" s="459" t="s">
        <v>144</v>
      </c>
      <c r="G43" s="459"/>
      <c r="H43" s="459"/>
      <c r="I43" s="459"/>
      <c r="J43" s="267"/>
      <c r="K43" s="69"/>
      <c r="L43" s="69"/>
      <c r="T43" s="89"/>
      <c r="U43" s="89"/>
      <c r="AD43" s="217"/>
    </row>
    <row r="44" spans="1:30" ht="12.75">
      <c r="A44" s="199" t="s">
        <v>140</v>
      </c>
      <c r="B44" s="200"/>
      <c r="C44" s="200"/>
      <c r="D44" s="200"/>
      <c r="E44" s="201"/>
      <c r="F44" s="93" t="s">
        <v>143</v>
      </c>
      <c r="G44" s="94"/>
      <c r="H44" s="94"/>
      <c r="I44" s="94"/>
      <c r="T44" s="461" t="s">
        <v>107</v>
      </c>
      <c r="U44" s="461"/>
      <c r="W44" s="460" t="s">
        <v>106</v>
      </c>
      <c r="X44" s="460"/>
      <c r="AD44" s="217"/>
    </row>
    <row r="45" spans="1:30" ht="12.75">
      <c r="A45" s="9" t="s">
        <v>51</v>
      </c>
      <c r="B45" s="10"/>
      <c r="C45" s="10"/>
      <c r="D45" s="10"/>
      <c r="E45" s="10"/>
      <c r="F45" s="93" t="s">
        <v>312</v>
      </c>
      <c r="G45" s="94"/>
      <c r="H45" s="94"/>
      <c r="I45" s="94"/>
      <c r="T45" s="216"/>
      <c r="U45" s="216"/>
      <c r="W45" s="217"/>
      <c r="X45" s="217"/>
      <c r="AD45" s="217"/>
    </row>
    <row r="46" spans="1:24" ht="28.5" customHeight="1">
      <c r="A46" s="9" t="s">
        <v>52</v>
      </c>
      <c r="B46" s="10"/>
      <c r="C46" s="10"/>
      <c r="D46" s="10"/>
      <c r="E46" s="10"/>
      <c r="F46" s="196"/>
      <c r="G46" s="94"/>
      <c r="H46" s="94"/>
      <c r="I46" s="94"/>
      <c r="M46" s="342"/>
      <c r="T46" s="461" t="e">
        <f>+IF(#REF!&gt;0,#REF!,D69)</f>
        <v>#REF!</v>
      </c>
      <c r="U46" s="461"/>
      <c r="W46" s="460" t="e">
        <f>+IF(#REF!=D79,#REF!,#REF!+D79)</f>
        <v>#REF!</v>
      </c>
      <c r="X46" s="460"/>
    </row>
    <row r="47" spans="1:21" ht="12.75">
      <c r="A47" s="9" t="s">
        <v>53</v>
      </c>
      <c r="B47" s="10"/>
      <c r="C47" s="10"/>
      <c r="D47" s="10"/>
      <c r="E47" s="10"/>
      <c r="F47" s="196"/>
      <c r="G47" s="94"/>
      <c r="H47" s="94"/>
      <c r="I47" s="94"/>
      <c r="M47" s="68"/>
      <c r="N47" s="68"/>
      <c r="T47" s="102"/>
      <c r="U47" s="102"/>
    </row>
    <row r="48" spans="1:24" ht="18">
      <c r="A48" s="9" t="s">
        <v>54</v>
      </c>
      <c r="B48" s="10"/>
      <c r="C48" s="10"/>
      <c r="D48" s="10"/>
      <c r="E48" s="10"/>
      <c r="F48" s="196"/>
      <c r="G48" s="94"/>
      <c r="H48" s="94"/>
      <c r="I48" s="94"/>
      <c r="M48" s="343"/>
      <c r="N48" s="68"/>
      <c r="T48" s="461" t="s">
        <v>109</v>
      </c>
      <c r="U48" s="461"/>
      <c r="W48" s="465" t="s">
        <v>108</v>
      </c>
      <c r="X48" s="465"/>
    </row>
    <row r="49" spans="1:24" ht="18">
      <c r="A49" s="6" t="s">
        <v>142</v>
      </c>
      <c r="F49" s="219" t="s">
        <v>189</v>
      </c>
      <c r="G49" s="218"/>
      <c r="H49" s="218"/>
      <c r="I49" s="218"/>
      <c r="M49" s="343"/>
      <c r="N49" s="68"/>
      <c r="T49" s="216"/>
      <c r="U49" s="216"/>
      <c r="W49" s="63"/>
      <c r="X49" s="63"/>
    </row>
    <row r="50" spans="13:24" ht="18">
      <c r="M50" s="343"/>
      <c r="N50" s="68"/>
      <c r="T50" s="216"/>
      <c r="U50" s="216"/>
      <c r="W50" s="63"/>
      <c r="X50" s="63"/>
    </row>
    <row r="51" spans="1:24" ht="25.5">
      <c r="A51" s="359" t="s">
        <v>317</v>
      </c>
      <c r="B51" s="360"/>
      <c r="C51" s="360"/>
      <c r="D51" s="360"/>
      <c r="E51" s="360"/>
      <c r="F51" s="361"/>
      <c r="G51" s="362">
        <f>'PLANILLA DE CALCULOS '!$H$84</f>
        <v>0</v>
      </c>
      <c r="K51" s="68"/>
      <c r="L51" s="68"/>
      <c r="T51" s="461" t="e">
        <f>+IF(#REF!&gt;0,#REF!,D68)</f>
        <v>#REF!</v>
      </c>
      <c r="U51" s="461"/>
      <c r="W51" s="465" t="e">
        <f>+IF(#REF!=D78,#REF!,#REF!+D78)</f>
        <v>#REF!</v>
      </c>
      <c r="X51" s="465"/>
    </row>
    <row r="52" spans="1:21" ht="32.25" customHeight="1">
      <c r="A52" s="204"/>
      <c r="B52" s="205"/>
      <c r="C52" s="205"/>
      <c r="D52" s="205"/>
      <c r="E52" s="205"/>
      <c r="F52" s="206"/>
      <c r="G52" s="207"/>
      <c r="K52" s="68"/>
      <c r="L52" s="68"/>
      <c r="T52" s="102"/>
      <c r="U52" s="102"/>
    </row>
    <row r="53" spans="1:12" ht="20.25">
      <c r="A53" s="441" t="s">
        <v>316</v>
      </c>
      <c r="B53" s="442"/>
      <c r="C53" s="442"/>
      <c r="D53" s="442"/>
      <c r="E53" s="442"/>
      <c r="F53" s="443"/>
      <c r="G53" s="363">
        <v>0</v>
      </c>
      <c r="K53" s="68"/>
      <c r="L53" s="68"/>
    </row>
    <row r="54" spans="1:12" ht="13.5" thickBot="1">
      <c r="A54" s="356"/>
      <c r="B54" s="205"/>
      <c r="C54" s="205"/>
      <c r="D54" s="205"/>
      <c r="E54" s="205"/>
      <c r="F54" s="206"/>
      <c r="K54" s="68"/>
      <c r="L54" s="68"/>
    </row>
    <row r="55" spans="1:12" ht="27" thickBot="1">
      <c r="A55" s="364" t="str">
        <f>'PLANILLA DE CALCULOS '!A84</f>
        <v>SE CONSIGNA EL MONTO DEL HONORARIO EN PESOS:</v>
      </c>
      <c r="B55" s="357"/>
      <c r="C55" s="357"/>
      <c r="D55" s="357"/>
      <c r="E55" s="357"/>
      <c r="F55" s="358"/>
      <c r="G55" s="435">
        <f>IF(M59="ERROR","ERROR",IF(G53&gt;=G51,G53,G51))</f>
        <v>0</v>
      </c>
      <c r="K55" s="68"/>
      <c r="L55" s="68"/>
    </row>
    <row r="56" spans="1:7" ht="13.5" thickBot="1">
      <c r="A56" s="208"/>
      <c r="B56" s="209"/>
      <c r="C56" s="209"/>
      <c r="D56" s="209"/>
      <c r="E56" s="209"/>
      <c r="F56" s="210"/>
      <c r="G56" s="209"/>
    </row>
    <row r="57" spans="1:20" ht="21" customHeight="1" thickBot="1">
      <c r="A57" s="472" t="s">
        <v>388</v>
      </c>
      <c r="B57" s="473"/>
      <c r="C57" s="473"/>
      <c r="D57" s="473"/>
      <c r="E57" s="473"/>
      <c r="F57" s="473"/>
      <c r="G57" s="473"/>
      <c r="H57" s="473"/>
      <c r="I57" s="473"/>
      <c r="J57" s="473"/>
      <c r="K57" s="474"/>
      <c r="M57" s="475" t="s">
        <v>389</v>
      </c>
      <c r="N57" s="476"/>
      <c r="O57" s="266"/>
      <c r="P57" s="266"/>
      <c r="T57" s="59"/>
    </row>
    <row r="58" spans="1:24" ht="12.75" customHeight="1" thickBot="1">
      <c r="A58" s="208"/>
      <c r="B58" s="209"/>
      <c r="C58" s="209"/>
      <c r="D58" s="209"/>
      <c r="E58" s="209"/>
      <c r="F58" s="210"/>
      <c r="G58" s="209"/>
      <c r="M58" s="477"/>
      <c r="N58" s="478"/>
      <c r="O58" s="266"/>
      <c r="P58" s="266"/>
      <c r="Q58" s="2"/>
      <c r="S58" s="59"/>
      <c r="T58" s="59"/>
      <c r="U58" s="59"/>
      <c r="V58" s="59"/>
      <c r="W58" s="59"/>
      <c r="X58" s="59"/>
    </row>
    <row r="59" spans="1:26" ht="27" customHeight="1">
      <c r="A59" s="428" t="str">
        <f>conviertenumletra(G55)</f>
        <v>PESOS  con 00/100 Cvos.</v>
      </c>
      <c r="B59" s="429"/>
      <c r="C59" s="429"/>
      <c r="D59" s="429"/>
      <c r="E59" s="430"/>
      <c r="F59" s="431"/>
      <c r="G59" s="430"/>
      <c r="H59" s="433"/>
      <c r="I59" s="433"/>
      <c r="J59" s="433"/>
      <c r="K59" s="434"/>
      <c r="L59" s="432"/>
      <c r="M59" s="479" t="str">
        <f>IF(N59="","ERROR","CATEGORIA")</f>
        <v>CATEGORIA</v>
      </c>
      <c r="N59" s="481" t="s">
        <v>390</v>
      </c>
      <c r="O59" s="3"/>
      <c r="P59" s="3"/>
      <c r="Q59" s="3"/>
      <c r="S59" s="60"/>
      <c r="T59"/>
      <c r="U59"/>
      <c r="V59"/>
      <c r="W59"/>
      <c r="X59"/>
      <c r="Z59" s="6" t="s">
        <v>390</v>
      </c>
    </row>
    <row r="60" spans="1:24" ht="9" customHeight="1" thickBot="1">
      <c r="A60" s="426"/>
      <c r="B60" s="427"/>
      <c r="C60" s="427"/>
      <c r="D60" s="427"/>
      <c r="E60" s="206"/>
      <c r="F60" s="205"/>
      <c r="G60" s="206"/>
      <c r="H60" s="89"/>
      <c r="I60" s="89"/>
      <c r="J60" s="89"/>
      <c r="M60" s="480"/>
      <c r="N60" s="482"/>
      <c r="O60" s="3"/>
      <c r="P60" s="3"/>
      <c r="Q60" s="3"/>
      <c r="S60" s="61"/>
      <c r="T60"/>
      <c r="U60"/>
      <c r="V60"/>
      <c r="W60"/>
      <c r="X60"/>
    </row>
    <row r="61" spans="13:26" ht="27">
      <c r="M61" s="266"/>
      <c r="N61" s="266"/>
      <c r="Q61" s="3"/>
      <c r="S61" s="61"/>
      <c r="T61"/>
      <c r="U61"/>
      <c r="V61"/>
      <c r="W61"/>
      <c r="X61"/>
      <c r="Z61" s="6" t="s">
        <v>391</v>
      </c>
    </row>
    <row r="62" spans="1:24" ht="27">
      <c r="A62" s="426"/>
      <c r="B62" s="427"/>
      <c r="C62" s="427"/>
      <c r="D62" s="427"/>
      <c r="E62" s="206"/>
      <c r="F62" s="205"/>
      <c r="G62" s="206"/>
      <c r="H62" s="89"/>
      <c r="I62" s="89"/>
      <c r="J62" s="89"/>
      <c r="M62" s="266"/>
      <c r="N62" s="266"/>
      <c r="O62" s="3"/>
      <c r="P62" s="3"/>
      <c r="Q62" s="3"/>
      <c r="S62" s="61"/>
      <c r="T62"/>
      <c r="U62"/>
      <c r="V62"/>
      <c r="W62"/>
      <c r="X62"/>
    </row>
    <row r="63" spans="1:24" ht="23.25">
      <c r="A63" s="426"/>
      <c r="B63" s="427"/>
      <c r="C63" s="427"/>
      <c r="D63" s="427"/>
      <c r="E63" s="206"/>
      <c r="F63" s="205"/>
      <c r="G63" s="206"/>
      <c r="H63" s="89"/>
      <c r="I63" s="89"/>
      <c r="J63" s="89"/>
      <c r="M63" s="3"/>
      <c r="N63" s="3"/>
      <c r="O63" s="3"/>
      <c r="P63" s="3"/>
      <c r="Q63" s="3"/>
      <c r="S63" s="61"/>
      <c r="T63"/>
      <c r="U63"/>
      <c r="V63"/>
      <c r="W63"/>
      <c r="X63"/>
    </row>
    <row r="64" spans="1:14" ht="15.75">
      <c r="A64" s="17"/>
      <c r="C64" s="18"/>
      <c r="D64" s="18"/>
      <c r="E64" s="18"/>
      <c r="M64" s="3"/>
      <c r="N64" s="3"/>
    </row>
    <row r="65" spans="1:5" ht="15.75">
      <c r="A65" s="17"/>
      <c r="C65" s="18" t="s">
        <v>58</v>
      </c>
      <c r="D65" s="18"/>
      <c r="E65" s="18"/>
    </row>
    <row r="66" spans="1:14" ht="12.75">
      <c r="A66" s="17"/>
      <c r="B66" s="8"/>
      <c r="C66" s="17"/>
      <c r="D66" s="17"/>
      <c r="E66" s="17"/>
      <c r="M66" s="3"/>
      <c r="N66" s="3"/>
    </row>
    <row r="67" spans="1:14" ht="13.5" thickBot="1">
      <c r="A67" s="17" t="s">
        <v>263</v>
      </c>
      <c r="B67" s="8"/>
      <c r="C67" s="17"/>
      <c r="D67" s="17"/>
      <c r="E67" s="17"/>
      <c r="F67" s="4"/>
      <c r="M67" s="3"/>
      <c r="N67" s="3"/>
    </row>
    <row r="68" spans="1:20" ht="27">
      <c r="A68" s="19"/>
      <c r="B68" s="20"/>
      <c r="C68" s="20"/>
      <c r="D68" s="96"/>
      <c r="F68" s="64"/>
      <c r="G68" s="466" t="s">
        <v>139</v>
      </c>
      <c r="H68" s="467"/>
      <c r="I68" s="467"/>
      <c r="J68" s="470">
        <v>17000</v>
      </c>
      <c r="K68" s="266"/>
      <c r="L68" s="266"/>
      <c r="T68" s="59"/>
    </row>
    <row r="69" spans="1:24" ht="27.75" thickBot="1">
      <c r="A69" s="21" t="s">
        <v>59</v>
      </c>
      <c r="B69" s="17"/>
      <c r="C69" s="17"/>
      <c r="D69" s="97">
        <v>0</v>
      </c>
      <c r="F69" s="66"/>
      <c r="G69" s="468"/>
      <c r="H69" s="469"/>
      <c r="I69" s="469"/>
      <c r="J69" s="471"/>
      <c r="K69" s="266"/>
      <c r="L69" s="266"/>
      <c r="S69" s="483" t="s">
        <v>59</v>
      </c>
      <c r="T69" s="483"/>
      <c r="U69" s="393">
        <f>+D69+D79+D88</f>
        <v>0</v>
      </c>
      <c r="V69"/>
      <c r="W69"/>
      <c r="X69"/>
    </row>
    <row r="70" spans="1:24" ht="12.75" customHeight="1">
      <c r="A70" s="21" t="s">
        <v>87</v>
      </c>
      <c r="B70" s="17"/>
      <c r="C70" s="17"/>
      <c r="D70" s="97">
        <v>0</v>
      </c>
      <c r="F70" s="64"/>
      <c r="G70" s="68"/>
      <c r="I70" s="1"/>
      <c r="J70" s="3"/>
      <c r="K70" s="3"/>
      <c r="L70" s="3"/>
      <c r="S70" s="483" t="s">
        <v>345</v>
      </c>
      <c r="T70" s="483"/>
      <c r="U70" s="393">
        <f>+D70+D80+D89</f>
        <v>0</v>
      </c>
      <c r="V70"/>
      <c r="W70"/>
      <c r="X70"/>
    </row>
    <row r="71" spans="1:24" ht="12.75" customHeight="1">
      <c r="A71" s="21" t="s">
        <v>264</v>
      </c>
      <c r="B71" s="17"/>
      <c r="C71" s="17"/>
      <c r="D71" s="95">
        <f>K89</f>
        <v>1360</v>
      </c>
      <c r="F71" s="64"/>
      <c r="G71" s="90" t="s">
        <v>100</v>
      </c>
      <c r="I71" s="1"/>
      <c r="J71" s="3"/>
      <c r="K71" s="3"/>
      <c r="L71" s="3"/>
      <c r="S71" s="61"/>
      <c r="T71"/>
      <c r="U71"/>
      <c r="V71"/>
      <c r="W71"/>
      <c r="X71"/>
    </row>
    <row r="72" spans="1:24" ht="12.75">
      <c r="A72" s="21"/>
      <c r="B72" s="17"/>
      <c r="C72" s="17"/>
      <c r="D72" s="95"/>
      <c r="F72" s="70"/>
      <c r="G72" s="194">
        <f>IF(AND(G55&lt;=6103),374,IF(AND(G55&gt;6103,G55&lt;=27718),692,IF(AND(G55&gt;27718),G55*0.025,0)))</f>
        <v>374</v>
      </c>
      <c r="I72" s="1"/>
      <c r="S72" s="61"/>
      <c r="T72"/>
      <c r="U72"/>
      <c r="V72"/>
      <c r="W72"/>
      <c r="X72"/>
    </row>
    <row r="73" spans="1:37" ht="22.5" customHeight="1">
      <c r="A73" s="17"/>
      <c r="B73" s="17"/>
      <c r="C73" s="17"/>
      <c r="I73" s="1"/>
      <c r="J73" s="3"/>
      <c r="K73" s="3"/>
      <c r="L73" s="3"/>
      <c r="O73" s="170"/>
      <c r="P73" s="170"/>
      <c r="Q73" s="170"/>
      <c r="R73" s="170"/>
      <c r="S73" s="171"/>
      <c r="T73" s="172"/>
      <c r="U73" s="172"/>
      <c r="V73" s="172"/>
      <c r="W73" s="172"/>
      <c r="X73" s="172"/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K73" s="259"/>
    </row>
    <row r="74" spans="2:24" ht="12.75">
      <c r="B74" s="17"/>
      <c r="C74" s="17"/>
      <c r="D74" s="193" t="s">
        <v>135</v>
      </c>
      <c r="E74" s="101">
        <f>(+D70+(PRODUCT(D69,D71)))</f>
        <v>0</v>
      </c>
      <c r="J74" s="3"/>
      <c r="K74" s="3"/>
      <c r="L74" s="3"/>
      <c r="S74" s="61"/>
      <c r="T74"/>
      <c r="U74"/>
      <c r="V74"/>
      <c r="W74"/>
      <c r="X74"/>
    </row>
    <row r="75" spans="1:8" ht="12.75">
      <c r="A75" s="1"/>
      <c r="B75" s="1"/>
      <c r="C75" s="1"/>
      <c r="E75" s="56"/>
      <c r="G75" s="492" t="s">
        <v>61</v>
      </c>
      <c r="H75" s="493"/>
    </row>
    <row r="76" spans="5:8" ht="12.75">
      <c r="E76" s="56"/>
      <c r="G76" s="490">
        <f>+E118+IF(E85&gt;0,E85,E74)+IF(E94=E84,E94,E94+E84)+E93+E135</f>
        <v>0</v>
      </c>
      <c r="H76" s="491"/>
    </row>
    <row r="77" spans="1:30" ht="18">
      <c r="A77" s="17" t="s">
        <v>104</v>
      </c>
      <c r="B77" s="17"/>
      <c r="C77" s="17"/>
      <c r="D77" s="5"/>
      <c r="E77" s="56"/>
      <c r="F77" s="100"/>
      <c r="G77" s="84"/>
      <c r="M77" s="170"/>
      <c r="N77" s="170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</row>
    <row r="78" spans="1:29" ht="12.75">
      <c r="A78" s="19"/>
      <c r="B78" s="20"/>
      <c r="C78" s="20"/>
      <c r="D78" s="96"/>
      <c r="E78" s="56"/>
      <c r="F78" s="100"/>
      <c r="G78" s="84"/>
      <c r="R78" s="68"/>
      <c r="S78" s="68"/>
      <c r="T78" s="129"/>
      <c r="U78" s="68"/>
      <c r="V78" s="68"/>
      <c r="W78" s="68"/>
      <c r="X78" s="68"/>
      <c r="Y78" s="68"/>
      <c r="Z78" s="68"/>
      <c r="AA78" s="68"/>
      <c r="AB78" s="68"/>
      <c r="AC78" s="68"/>
    </row>
    <row r="79" spans="1:29" ht="12.75">
      <c r="A79" s="21" t="s">
        <v>59</v>
      </c>
      <c r="B79" s="17"/>
      <c r="C79" s="17"/>
      <c r="D79" s="97">
        <v>0</v>
      </c>
      <c r="E79" s="56"/>
      <c r="F79" s="64"/>
      <c r="G79" s="84"/>
      <c r="R79" s="68"/>
      <c r="S79" s="131"/>
      <c r="T79" s="132"/>
      <c r="U79" s="132"/>
      <c r="V79" s="132"/>
      <c r="W79" s="132"/>
      <c r="X79" s="132"/>
      <c r="Y79" s="68"/>
      <c r="Z79" s="68"/>
      <c r="AA79" s="68"/>
      <c r="AB79" s="68"/>
      <c r="AC79" s="68"/>
    </row>
    <row r="80" spans="1:29" ht="12.75">
      <c r="A80" s="21" t="s">
        <v>87</v>
      </c>
      <c r="B80" s="17"/>
      <c r="C80" s="17"/>
      <c r="D80" s="97">
        <v>0</v>
      </c>
      <c r="E80" s="56"/>
      <c r="F80" s="64"/>
      <c r="G80" s="84"/>
      <c r="O80" s="130"/>
      <c r="P80" s="130"/>
      <c r="Q80" s="130"/>
      <c r="R80" s="68"/>
      <c r="S80" s="131"/>
      <c r="T80" s="132"/>
      <c r="U80" s="132"/>
      <c r="V80" s="132"/>
      <c r="W80" s="132"/>
      <c r="X80" s="132"/>
      <c r="Y80" s="68"/>
      <c r="Z80" s="68"/>
      <c r="AA80" s="68"/>
      <c r="AB80" s="68"/>
      <c r="AC80" s="68"/>
    </row>
    <row r="81" spans="1:24" ht="18">
      <c r="A81" s="21" t="s">
        <v>264</v>
      </c>
      <c r="B81" s="17"/>
      <c r="C81" s="17"/>
      <c r="D81" s="95">
        <f>K89</f>
        <v>1360</v>
      </c>
      <c r="E81" s="56"/>
      <c r="F81" s="64"/>
      <c r="G81" s="485" t="s">
        <v>134</v>
      </c>
      <c r="H81" s="486">
        <v>3</v>
      </c>
      <c r="I81" s="192"/>
      <c r="N81" s="128"/>
      <c r="O81" s="3"/>
      <c r="P81" s="3"/>
      <c r="Q81" s="3"/>
      <c r="S81" s="61"/>
      <c r="T81"/>
      <c r="U81"/>
      <c r="V81"/>
      <c r="W81"/>
      <c r="X81"/>
    </row>
    <row r="82" spans="1:24" ht="18">
      <c r="A82" s="21"/>
      <c r="B82" s="17"/>
      <c r="C82" s="17"/>
      <c r="D82" s="95"/>
      <c r="E82" s="56"/>
      <c r="F82" s="64"/>
      <c r="G82" s="485"/>
      <c r="H82" s="487"/>
      <c r="I82" s="192"/>
      <c r="N82" s="68"/>
      <c r="O82" s="3"/>
      <c r="P82" s="3"/>
      <c r="Q82" s="3"/>
      <c r="S82" s="61"/>
      <c r="T82"/>
      <c r="U82"/>
      <c r="V82"/>
      <c r="W82"/>
      <c r="X82"/>
    </row>
    <row r="83" spans="1:24" ht="12.75">
      <c r="A83" s="17"/>
      <c r="B83" s="17"/>
      <c r="C83" s="17"/>
      <c r="E83" s="56"/>
      <c r="G83" s="84"/>
      <c r="N83" s="130"/>
      <c r="O83" s="3"/>
      <c r="P83" s="3"/>
      <c r="Q83" s="3"/>
      <c r="S83" s="61"/>
      <c r="T83"/>
      <c r="U83"/>
      <c r="V83"/>
      <c r="W83"/>
      <c r="X83"/>
    </row>
    <row r="84" spans="2:24" ht="18">
      <c r="B84" s="17"/>
      <c r="C84" s="17"/>
      <c r="D84" s="58" t="s">
        <v>62</v>
      </c>
      <c r="E84" s="101">
        <f>(+D80+(PRODUCT(D79,D81)))</f>
        <v>0</v>
      </c>
      <c r="G84" s="68"/>
      <c r="H84" s="321"/>
      <c r="J84" s="170"/>
      <c r="K84" s="170"/>
      <c r="L84" s="170"/>
      <c r="M84" s="130"/>
      <c r="N84" s="130"/>
      <c r="S84" s="61"/>
      <c r="T84"/>
      <c r="U84"/>
      <c r="V84"/>
      <c r="W84"/>
      <c r="X84"/>
    </row>
    <row r="85" spans="1:14" ht="12.75">
      <c r="A85" s="68"/>
      <c r="B85" s="275"/>
      <c r="C85" s="275"/>
      <c r="D85" s="305"/>
      <c r="E85" s="306"/>
      <c r="G85" s="84"/>
      <c r="M85" s="3"/>
      <c r="N85" s="3"/>
    </row>
    <row r="86" spans="1:14" ht="12.75">
      <c r="A86" s="6" t="s">
        <v>105</v>
      </c>
      <c r="E86" s="56"/>
      <c r="F86" s="100"/>
      <c r="G86" s="84"/>
      <c r="M86" s="3"/>
      <c r="N86" s="3"/>
    </row>
    <row r="87" spans="1:20" ht="12.75">
      <c r="A87" s="19"/>
      <c r="B87" s="20"/>
      <c r="C87" s="20"/>
      <c r="D87" s="96"/>
      <c r="J87" s="125" t="s">
        <v>124</v>
      </c>
      <c r="K87" s="124">
        <v>850</v>
      </c>
      <c r="L87" s="311"/>
      <c r="M87" s="3"/>
      <c r="N87" s="3"/>
      <c r="T87" s="59"/>
    </row>
    <row r="88" spans="1:24" ht="12.75">
      <c r="A88" s="21" t="s">
        <v>59</v>
      </c>
      <c r="B88" s="17"/>
      <c r="C88" s="17"/>
      <c r="D88" s="97">
        <v>0</v>
      </c>
      <c r="F88" s="64"/>
      <c r="J88" s="98" t="s">
        <v>123</v>
      </c>
      <c r="K88" s="124">
        <v>4675</v>
      </c>
      <c r="L88" s="166"/>
      <c r="O88" s="2"/>
      <c r="P88" s="2"/>
      <c r="Q88" s="2"/>
      <c r="S88" s="59"/>
      <c r="T88" s="59"/>
      <c r="U88" s="59"/>
      <c r="V88" s="59"/>
      <c r="W88" s="59"/>
      <c r="X88" s="59"/>
    </row>
    <row r="89" spans="1:24" ht="12.75">
      <c r="A89" s="21" t="s">
        <v>87</v>
      </c>
      <c r="B89" s="17"/>
      <c r="C89" s="17"/>
      <c r="D89" s="97">
        <v>0</v>
      </c>
      <c r="F89" s="64"/>
      <c r="J89" s="98" t="s">
        <v>86</v>
      </c>
      <c r="K89" s="195">
        <v>1360</v>
      </c>
      <c r="L89" s="166"/>
      <c r="O89" s="3"/>
      <c r="P89" s="3"/>
      <c r="Q89" s="3"/>
      <c r="S89" s="60"/>
      <c r="T89"/>
      <c r="U89"/>
      <c r="V89"/>
      <c r="W89"/>
      <c r="X89"/>
    </row>
    <row r="90" spans="1:24" ht="12.75">
      <c r="A90" s="21" t="s">
        <v>264</v>
      </c>
      <c r="B90" s="17"/>
      <c r="C90" s="17"/>
      <c r="D90" s="95">
        <f>K89</f>
        <v>1360</v>
      </c>
      <c r="F90" s="64"/>
      <c r="G90" s="117"/>
      <c r="H90" s="132"/>
      <c r="I90" s="166"/>
      <c r="J90" s="98"/>
      <c r="K90" s="195"/>
      <c r="L90" s="130"/>
      <c r="O90" s="3"/>
      <c r="P90" s="3"/>
      <c r="Q90" s="3"/>
      <c r="S90" s="60"/>
      <c r="T90"/>
      <c r="U90"/>
      <c r="V90"/>
      <c r="W90"/>
      <c r="X90"/>
    </row>
    <row r="91" spans="1:24" ht="12.75">
      <c r="A91" s="21"/>
      <c r="B91" s="17"/>
      <c r="C91" s="17"/>
      <c r="D91" s="95"/>
      <c r="F91" s="64"/>
      <c r="J91" s="3"/>
      <c r="K91" s="3"/>
      <c r="L91" s="3"/>
      <c r="O91" s="3"/>
      <c r="P91" s="3"/>
      <c r="Q91" s="3"/>
      <c r="S91" s="61"/>
      <c r="T91"/>
      <c r="U91"/>
      <c r="V91"/>
      <c r="W91"/>
      <c r="X91"/>
    </row>
    <row r="92" spans="1:24" ht="12.75">
      <c r="A92" s="17"/>
      <c r="B92" s="17"/>
      <c r="C92" s="17"/>
      <c r="I92" s="1"/>
      <c r="M92" s="2"/>
      <c r="N92" s="2"/>
      <c r="S92" s="61"/>
      <c r="T92"/>
      <c r="U92"/>
      <c r="V92"/>
      <c r="W92"/>
      <c r="X92"/>
    </row>
    <row r="93" spans="2:24" ht="12.75">
      <c r="B93" s="17"/>
      <c r="C93" s="17"/>
      <c r="D93" s="58" t="s">
        <v>111</v>
      </c>
      <c r="E93" s="101">
        <f>(+D89+(PRODUCT(D88,D90)))</f>
        <v>0</v>
      </c>
      <c r="I93" s="1"/>
      <c r="M93" s="3"/>
      <c r="N93" s="3"/>
      <c r="S93" s="61"/>
      <c r="T93"/>
      <c r="U93"/>
      <c r="V93"/>
      <c r="W93"/>
      <c r="X93"/>
    </row>
    <row r="94" spans="1:24" ht="12.75">
      <c r="A94" s="68"/>
      <c r="B94" s="275"/>
      <c r="C94" s="275"/>
      <c r="D94" s="305"/>
      <c r="E94" s="306"/>
      <c r="M94" s="3"/>
      <c r="N94" s="3"/>
      <c r="S94" s="61"/>
      <c r="T94"/>
      <c r="U94"/>
      <c r="V94"/>
      <c r="W94"/>
      <c r="X94"/>
    </row>
    <row r="95" spans="1:24" ht="12.75">
      <c r="A95" s="17"/>
      <c r="B95" s="17"/>
      <c r="C95" s="17"/>
      <c r="E95" s="57"/>
      <c r="I95" s="22"/>
      <c r="M95" s="3"/>
      <c r="N95" s="3"/>
      <c r="O95" s="3"/>
      <c r="P95" s="3"/>
      <c r="Q95" s="3"/>
      <c r="S95" s="61"/>
      <c r="T95"/>
      <c r="U95"/>
      <c r="V95"/>
      <c r="W95"/>
      <c r="X95"/>
    </row>
    <row r="96" spans="14:24" ht="12.75">
      <c r="N96" s="3"/>
      <c r="S96" s="61"/>
      <c r="T96"/>
      <c r="U96"/>
      <c r="V96"/>
      <c r="W96"/>
      <c r="X96"/>
    </row>
    <row r="97" spans="6:24" ht="12.75">
      <c r="F97" s="5"/>
      <c r="N97" s="3"/>
      <c r="S97" s="61"/>
      <c r="T97"/>
      <c r="U97"/>
      <c r="V97"/>
      <c r="W97"/>
      <c r="X97"/>
    </row>
    <row r="98" spans="6:24" ht="12.75">
      <c r="F98" s="160"/>
      <c r="G98" s="84"/>
      <c r="I98" s="1"/>
      <c r="J98" s="2"/>
      <c r="K98" s="2"/>
      <c r="L98" s="2"/>
      <c r="N98" s="3"/>
      <c r="S98" s="61"/>
      <c r="T98"/>
      <c r="U98"/>
      <c r="V98"/>
      <c r="W98"/>
      <c r="X98"/>
    </row>
    <row r="99" spans="6:20" ht="12.75">
      <c r="F99" s="100"/>
      <c r="G99" s="84"/>
      <c r="I99" s="1"/>
      <c r="J99" s="3"/>
      <c r="K99" s="3"/>
      <c r="L99" s="3"/>
      <c r="M99" s="3"/>
      <c r="N99" s="3"/>
      <c r="T99" s="59"/>
    </row>
    <row r="100" spans="6:30" ht="12.75">
      <c r="F100" s="100"/>
      <c r="G100" s="84"/>
      <c r="I100" s="1"/>
      <c r="J100" s="3"/>
      <c r="K100" s="3"/>
      <c r="L100" s="3"/>
      <c r="S100" s="59"/>
      <c r="T100" s="59"/>
      <c r="U100" s="59"/>
      <c r="V100" s="59"/>
      <c r="W100" s="59"/>
      <c r="X100" s="59"/>
      <c r="AA100" s="88">
        <v>40</v>
      </c>
      <c r="AB100" s="61"/>
      <c r="AC100" t="s">
        <v>95</v>
      </c>
      <c r="AD100" s="126"/>
    </row>
    <row r="101" spans="6:30" ht="12.75">
      <c r="F101" s="5"/>
      <c r="I101" s="1"/>
      <c r="J101" s="3"/>
      <c r="K101" s="3"/>
      <c r="L101" s="3"/>
      <c r="S101" s="60"/>
      <c r="T101"/>
      <c r="U101"/>
      <c r="V101"/>
      <c r="W101"/>
      <c r="X101"/>
      <c r="AA101" s="88">
        <v>55</v>
      </c>
      <c r="AB101" s="61"/>
      <c r="AC101" t="s">
        <v>96</v>
      </c>
      <c r="AD101" s="126"/>
    </row>
    <row r="102" spans="6:30" ht="12.75">
      <c r="F102" s="5"/>
      <c r="J102" s="488" t="s">
        <v>164</v>
      </c>
      <c r="K102" s="488"/>
      <c r="L102" s="488"/>
      <c r="S102" s="61"/>
      <c r="T102"/>
      <c r="U102"/>
      <c r="V102"/>
      <c r="W102"/>
      <c r="X102"/>
      <c r="AA102" s="88">
        <v>70</v>
      </c>
      <c r="AB102" s="61"/>
      <c r="AC102" t="s">
        <v>97</v>
      </c>
      <c r="AD102" s="126"/>
    </row>
    <row r="103" spans="6:30" ht="12.75">
      <c r="F103" s="5"/>
      <c r="J103" s="489" t="s">
        <v>165</v>
      </c>
      <c r="K103" s="489"/>
      <c r="L103" s="95">
        <v>4250</v>
      </c>
      <c r="S103" s="61"/>
      <c r="T103"/>
      <c r="U103"/>
      <c r="V103"/>
      <c r="W103"/>
      <c r="X103"/>
      <c r="AA103" s="88">
        <v>80</v>
      </c>
      <c r="AB103" s="61"/>
      <c r="AC103" t="s">
        <v>98</v>
      </c>
      <c r="AD103" s="126"/>
    </row>
    <row r="104" spans="10:30" ht="12.75">
      <c r="J104" s="484" t="s">
        <v>347</v>
      </c>
      <c r="K104" s="484"/>
      <c r="L104" s="95">
        <v>5894</v>
      </c>
      <c r="S104" s="61"/>
      <c r="T104"/>
      <c r="U104"/>
      <c r="V104"/>
      <c r="W104"/>
      <c r="X104"/>
      <c r="AA104" s="88">
        <f>2.5*G55</f>
        <v>0</v>
      </c>
      <c r="AB104" s="61"/>
      <c r="AC104" t="s">
        <v>99</v>
      </c>
      <c r="AD104" s="126"/>
    </row>
    <row r="105" spans="9:24" ht="12.75">
      <c r="I105" s="1"/>
      <c r="J105" s="3"/>
      <c r="K105" s="3"/>
      <c r="L105" s="3"/>
      <c r="S105" s="61"/>
      <c r="T105"/>
      <c r="U105"/>
      <c r="V105"/>
      <c r="W105"/>
      <c r="X105"/>
    </row>
    <row r="106" spans="19:24" ht="12.75">
      <c r="S106" s="61"/>
      <c r="T106"/>
      <c r="U106"/>
      <c r="V106"/>
      <c r="W106"/>
      <c r="X106"/>
    </row>
    <row r="107" spans="2:24" ht="12.75">
      <c r="B107" s="17"/>
      <c r="C107" s="17"/>
      <c r="D107" s="82"/>
      <c r="E107" s="83"/>
      <c r="S107" s="61"/>
      <c r="T107"/>
      <c r="U107"/>
      <c r="V107"/>
      <c r="W107"/>
      <c r="X107"/>
    </row>
    <row r="108" spans="1:24" ht="12.75">
      <c r="A108" s="17"/>
      <c r="B108" s="8"/>
      <c r="C108" s="17"/>
      <c r="D108" s="17"/>
      <c r="E108" s="17"/>
      <c r="F108" s="4"/>
      <c r="S108" s="61"/>
      <c r="T108"/>
      <c r="U108"/>
      <c r="V108"/>
      <c r="W108"/>
      <c r="X108"/>
    </row>
    <row r="109" spans="1:7" ht="12.75">
      <c r="A109" s="275"/>
      <c r="B109" s="275"/>
      <c r="C109" s="275"/>
      <c r="D109" s="301"/>
      <c r="E109" s="68"/>
      <c r="F109" s="64"/>
      <c r="G109" s="65"/>
    </row>
    <row r="110" spans="1:7" ht="12.75">
      <c r="A110" s="275"/>
      <c r="B110" s="275"/>
      <c r="C110" s="275"/>
      <c r="D110" s="302"/>
      <c r="E110" s="68"/>
      <c r="F110" s="66"/>
      <c r="G110" s="67"/>
    </row>
    <row r="111" spans="1:7" ht="12.75">
      <c r="A111" s="275"/>
      <c r="B111" s="275"/>
      <c r="C111" s="275"/>
      <c r="D111" s="302"/>
      <c r="E111" s="68"/>
      <c r="F111" s="64"/>
      <c r="G111" s="68"/>
    </row>
    <row r="112" spans="1:20" ht="12.75">
      <c r="A112" s="275"/>
      <c r="B112" s="275"/>
      <c r="C112" s="275"/>
      <c r="D112" s="302"/>
      <c r="E112" s="68"/>
      <c r="F112" s="64"/>
      <c r="G112" s="68"/>
      <c r="T112" s="59"/>
    </row>
    <row r="113" spans="1:24" ht="12.75">
      <c r="A113" s="275"/>
      <c r="B113" s="275"/>
      <c r="C113" s="275"/>
      <c r="D113" s="303"/>
      <c r="E113" s="68"/>
      <c r="F113" s="64"/>
      <c r="G113" s="69"/>
      <c r="O113" s="133"/>
      <c r="P113" s="133"/>
      <c r="Q113" s="133"/>
      <c r="S113" s="59"/>
      <c r="T113" s="59"/>
      <c r="U113" s="59"/>
      <c r="V113" s="59"/>
      <c r="W113" s="59"/>
      <c r="X113" s="59"/>
    </row>
    <row r="114" spans="1:24" ht="12.75">
      <c r="A114" s="275"/>
      <c r="B114" s="275"/>
      <c r="C114" s="275"/>
      <c r="D114" s="303"/>
      <c r="E114" s="68"/>
      <c r="F114" s="70"/>
      <c r="G114" s="67"/>
      <c r="S114" s="60"/>
      <c r="T114"/>
      <c r="U114"/>
      <c r="V114"/>
      <c r="W114"/>
      <c r="X114"/>
    </row>
    <row r="115" spans="1:24" ht="12.75">
      <c r="A115" s="275"/>
      <c r="B115" s="275"/>
      <c r="C115" s="275"/>
      <c r="D115" s="304"/>
      <c r="E115" s="68"/>
      <c r="F115" s="70"/>
      <c r="G115" s="67"/>
      <c r="S115" s="60"/>
      <c r="T115"/>
      <c r="U115"/>
      <c r="V115"/>
      <c r="W115"/>
      <c r="X115"/>
    </row>
    <row r="116" spans="1:24" ht="12.75">
      <c r="A116" s="275"/>
      <c r="B116" s="275"/>
      <c r="C116" s="275"/>
      <c r="D116" s="64"/>
      <c r="E116" s="68"/>
      <c r="S116" s="61"/>
      <c r="T116"/>
      <c r="U116"/>
      <c r="V116"/>
      <c r="W116"/>
      <c r="X116"/>
    </row>
    <row r="117" spans="1:24" ht="12.75">
      <c r="A117" s="275"/>
      <c r="B117" s="275"/>
      <c r="C117" s="275"/>
      <c r="D117" s="68"/>
      <c r="E117" s="68"/>
      <c r="M117" s="133"/>
      <c r="N117" s="133"/>
      <c r="S117" s="61"/>
      <c r="T117"/>
      <c r="U117"/>
      <c r="V117"/>
      <c r="W117"/>
      <c r="X117"/>
    </row>
    <row r="118" spans="1:24" ht="12.75">
      <c r="A118" s="68"/>
      <c r="B118" s="275"/>
      <c r="C118" s="275"/>
      <c r="D118" s="305"/>
      <c r="E118" s="306"/>
      <c r="S118" s="61"/>
      <c r="T118"/>
      <c r="U118"/>
      <c r="V118"/>
      <c r="W118"/>
      <c r="X118"/>
    </row>
    <row r="119" spans="1:24" ht="12.75">
      <c r="A119" s="1"/>
      <c r="B119" s="1"/>
      <c r="C119" s="1"/>
      <c r="E119" s="56"/>
      <c r="F119" s="82"/>
      <c r="G119" s="84"/>
      <c r="S119" s="61"/>
      <c r="T119"/>
      <c r="U119"/>
      <c r="V119"/>
      <c r="W119"/>
      <c r="X119"/>
    </row>
    <row r="120" spans="6:24" ht="12.75">
      <c r="F120" s="6"/>
      <c r="S120" s="61"/>
      <c r="T120"/>
      <c r="U120"/>
      <c r="V120"/>
      <c r="W120"/>
      <c r="X120"/>
    </row>
    <row r="121" spans="6:24" ht="12.75">
      <c r="F121" s="100"/>
      <c r="G121" s="84"/>
      <c r="S121" s="61"/>
      <c r="T121"/>
      <c r="U121"/>
      <c r="V121"/>
      <c r="W121"/>
      <c r="X121"/>
    </row>
    <row r="122" spans="6:7" ht="12.75">
      <c r="F122" s="64"/>
      <c r="G122" s="84"/>
    </row>
    <row r="123" spans="6:12" ht="12.75">
      <c r="F123" s="66"/>
      <c r="G123" s="84"/>
      <c r="J123" s="133"/>
      <c r="K123" s="133"/>
      <c r="L123" s="133"/>
    </row>
    <row r="124" spans="6:7" ht="12.75">
      <c r="F124" s="64"/>
      <c r="G124" s="84"/>
    </row>
    <row r="125" spans="6:7" ht="15.75" customHeight="1">
      <c r="F125" s="64"/>
      <c r="G125" s="84"/>
    </row>
    <row r="126" spans="6:7" ht="15.75" customHeight="1">
      <c r="F126" s="64"/>
      <c r="G126" s="84"/>
    </row>
    <row r="127" spans="6:7" ht="12.75">
      <c r="F127" s="70"/>
      <c r="G127" s="84"/>
    </row>
    <row r="128" spans="6:7" ht="18" customHeight="1">
      <c r="F128" s="70"/>
      <c r="G128" s="84"/>
    </row>
    <row r="129" ht="12.75">
      <c r="G129" s="84"/>
    </row>
    <row r="130" ht="12.75">
      <c r="G130" s="84"/>
    </row>
    <row r="131" ht="18.75" customHeight="1">
      <c r="G131" s="84"/>
    </row>
    <row r="132" spans="1:7" ht="12.75">
      <c r="A132" s="1"/>
      <c r="B132" s="1"/>
      <c r="C132" s="1"/>
      <c r="E132" s="167"/>
      <c r="F132" s="82"/>
      <c r="G132" s="84"/>
    </row>
    <row r="134" spans="1:5" ht="18.75" customHeight="1">
      <c r="A134" s="307"/>
      <c r="B134" s="305"/>
      <c r="C134" s="275"/>
      <c r="D134" s="68"/>
      <c r="E134" s="68"/>
    </row>
    <row r="135" spans="1:5" ht="12.75">
      <c r="A135" s="68"/>
      <c r="B135" s="68"/>
      <c r="C135" s="68"/>
      <c r="D135" s="305"/>
      <c r="E135" s="306"/>
    </row>
    <row r="136" spans="1:5" ht="15" customHeight="1">
      <c r="A136" s="307"/>
      <c r="B136" s="305"/>
      <c r="C136" s="275"/>
      <c r="D136" s="305"/>
      <c r="E136" s="306"/>
    </row>
    <row r="137" spans="1:5" ht="18.75" customHeight="1">
      <c r="A137" s="309"/>
      <c r="B137" s="309"/>
      <c r="C137" s="309"/>
      <c r="D137" s="310"/>
      <c r="E137" s="310"/>
    </row>
    <row r="138" spans="1:5" ht="12.75">
      <c r="A138" s="206"/>
      <c r="B138" s="206"/>
      <c r="C138" s="308"/>
      <c r="D138" s="205"/>
      <c r="E138" s="205"/>
    </row>
    <row r="139" spans="1:5" ht="12.75">
      <c r="A139" s="68"/>
      <c r="B139" s="68"/>
      <c r="C139" s="68"/>
      <c r="D139" s="68"/>
      <c r="E139" s="68"/>
    </row>
    <row r="140" spans="1:5" ht="12.75">
      <c r="A140" s="309"/>
      <c r="B140" s="309"/>
      <c r="C140" s="309"/>
      <c r="D140" s="310"/>
      <c r="E140" s="310"/>
    </row>
    <row r="141" spans="1:5" ht="12.75">
      <c r="A141" s="206"/>
      <c r="B141" s="206"/>
      <c r="C141" s="308"/>
      <c r="D141" s="205"/>
      <c r="E141" s="205"/>
    </row>
    <row r="142" spans="1:5" ht="12.75">
      <c r="A142" s="68"/>
      <c r="B142" s="68"/>
      <c r="C142" s="68"/>
      <c r="D142" s="68"/>
      <c r="E142" s="68"/>
    </row>
    <row r="143" spans="1:5" ht="12.75">
      <c r="A143" s="309"/>
      <c r="B143" s="309"/>
      <c r="C143" s="309"/>
      <c r="D143" s="310"/>
      <c r="E143" s="310"/>
    </row>
    <row r="144" spans="1:5" ht="12.75">
      <c r="A144" s="206"/>
      <c r="B144" s="206"/>
      <c r="C144" s="308"/>
      <c r="D144" s="205"/>
      <c r="E144" s="205"/>
    </row>
    <row r="145" spans="1:5" ht="12.75">
      <c r="A145" s="68"/>
      <c r="B145" s="68"/>
      <c r="C145" s="68"/>
      <c r="D145" s="68"/>
      <c r="E145" s="68"/>
    </row>
    <row r="146" spans="1:5" ht="12.75">
      <c r="A146" s="309"/>
      <c r="B146" s="309"/>
      <c r="C146" s="309"/>
      <c r="D146" s="310"/>
      <c r="E146" s="310"/>
    </row>
    <row r="147" spans="1:5" ht="12.75">
      <c r="A147" s="206"/>
      <c r="B147" s="206"/>
      <c r="C147" s="308"/>
      <c r="D147" s="205"/>
      <c r="E147" s="205"/>
    </row>
  </sheetData>
  <sheetProtection password="CEAE" sheet="1"/>
  <mergeCells count="30">
    <mergeCell ref="S69:T69"/>
    <mergeCell ref="S70:T70"/>
    <mergeCell ref="A53:F53"/>
    <mergeCell ref="J104:K104"/>
    <mergeCell ref="G81:G82"/>
    <mergeCell ref="H81:H82"/>
    <mergeCell ref="J102:L102"/>
    <mergeCell ref="J103:K103"/>
    <mergeCell ref="G76:H76"/>
    <mergeCell ref="G75:H75"/>
    <mergeCell ref="T51:U51"/>
    <mergeCell ref="W48:X48"/>
    <mergeCell ref="W51:X51"/>
    <mergeCell ref="G68:I69"/>
    <mergeCell ref="J68:J69"/>
    <mergeCell ref="T48:U48"/>
    <mergeCell ref="A57:K57"/>
    <mergeCell ref="M57:N58"/>
    <mergeCell ref="M59:M60"/>
    <mergeCell ref="N59:N60"/>
    <mergeCell ref="F22:I22"/>
    <mergeCell ref="Y1:AA1"/>
    <mergeCell ref="F43:I43"/>
    <mergeCell ref="W46:X46"/>
    <mergeCell ref="W44:X44"/>
    <mergeCell ref="T44:U44"/>
    <mergeCell ref="T19:T24"/>
    <mergeCell ref="T46:U46"/>
    <mergeCell ref="F24:I24"/>
    <mergeCell ref="F23:I23"/>
  </mergeCells>
  <dataValidations count="4">
    <dataValidation type="list" allowBlank="1" showInputMessage="1" showErrorMessage="1" sqref="H81">
      <formula1>$U$14:$U$15</formula1>
    </dataValidation>
    <dataValidation type="list" allowBlank="1" showInputMessage="1" showErrorMessage="1" sqref="F22:I22">
      <formula1>$Z$2:$Z$15</formula1>
    </dataValidation>
    <dataValidation type="list" allowBlank="1" showInputMessage="1" showErrorMessage="1" sqref="F24">
      <formula1>$Z$19:$Z$26</formula1>
    </dataValidation>
    <dataValidation type="list" allowBlank="1" showInputMessage="1" showErrorMessage="1" sqref="N59:N60">
      <formula1>$Z$59:$Z$61</formula1>
    </dataValidation>
  </dataValidations>
  <printOptions gridLines="1"/>
  <pageMargins left="0.75" right="0.75" top="1" bottom="1" header="0.5" footer="0.5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Y156"/>
  <sheetViews>
    <sheetView zoomScale="115" zoomScaleNormal="115" zoomScalePageLayoutView="0" workbookViewId="0" topLeftCell="A22">
      <selection activeCell="BL37" sqref="BL37"/>
    </sheetView>
  </sheetViews>
  <sheetFormatPr defaultColWidth="11.421875" defaultRowHeight="12.75"/>
  <cols>
    <col min="1" max="39" width="1.7109375" style="24" customWidth="1"/>
    <col min="40" max="40" width="1.7109375" style="107" customWidth="1"/>
    <col min="41" max="44" width="1.7109375" style="24" customWidth="1"/>
    <col min="45" max="45" width="1.7109375" style="107" customWidth="1"/>
    <col min="46" max="48" width="1.7109375" style="24" customWidth="1"/>
    <col min="49" max="49" width="2.140625" style="24" customWidth="1"/>
    <col min="50" max="63" width="1.7109375" style="24" customWidth="1"/>
    <col min="64" max="64" width="11.421875" style="24" customWidth="1"/>
    <col min="65" max="98" width="1.421875" style="24" customWidth="1"/>
    <col min="99" max="16384" width="11.421875" style="24" customWidth="1"/>
  </cols>
  <sheetData>
    <row r="1" spans="4:20" ht="18" customHeight="1">
      <c r="D1" s="99"/>
      <c r="E1" s="25"/>
      <c r="T1" s="290" t="s">
        <v>190</v>
      </c>
    </row>
    <row r="2" spans="4:26" ht="18" customHeight="1">
      <c r="D2" s="99"/>
      <c r="E2" s="25"/>
      <c r="R2" s="75"/>
      <c r="S2" s="140"/>
      <c r="T2" s="290" t="s">
        <v>191</v>
      </c>
      <c r="U2" s="140"/>
      <c r="V2" s="140"/>
      <c r="W2" s="140"/>
      <c r="X2" s="140"/>
      <c r="Y2" s="140"/>
      <c r="Z2" s="75"/>
    </row>
    <row r="3" spans="5:33" ht="18" customHeight="1">
      <c r="E3" s="142"/>
      <c r="F3" s="142"/>
      <c r="G3" s="142"/>
      <c r="H3" s="142"/>
      <c r="I3" s="142"/>
      <c r="J3" s="142"/>
      <c r="R3" s="75"/>
      <c r="S3" s="141"/>
      <c r="T3" s="141"/>
      <c r="U3" s="141"/>
      <c r="V3" s="141"/>
      <c r="W3" s="141"/>
      <c r="Y3" s="142"/>
      <c r="Z3" s="142"/>
      <c r="AA3" s="142"/>
      <c r="AB3" s="290" t="s">
        <v>194</v>
      </c>
      <c r="AC3" s="142"/>
      <c r="AD3" s="142"/>
      <c r="AE3" s="142"/>
      <c r="AF3" s="142"/>
      <c r="AG3" s="142"/>
    </row>
    <row r="4" spans="5:26" ht="18" customHeight="1">
      <c r="E4" s="142"/>
      <c r="F4" s="142"/>
      <c r="G4" s="142"/>
      <c r="H4" s="142"/>
      <c r="I4" s="142"/>
      <c r="J4" s="142"/>
      <c r="Q4" s="143"/>
      <c r="R4" s="75"/>
      <c r="S4" s="141"/>
      <c r="T4" s="142" t="s">
        <v>192</v>
      </c>
      <c r="U4" s="141"/>
      <c r="V4" s="141"/>
      <c r="W4" s="141"/>
      <c r="X4" s="141"/>
      <c r="Y4" s="141"/>
      <c r="Z4" s="75"/>
    </row>
    <row r="5" spans="5:42" ht="18" customHeight="1">
      <c r="E5" s="142"/>
      <c r="F5" s="142"/>
      <c r="G5" s="142"/>
      <c r="H5" s="142"/>
      <c r="I5" s="142"/>
      <c r="J5" s="142"/>
      <c r="Q5" s="143"/>
      <c r="R5" s="75"/>
      <c r="S5" s="141"/>
      <c r="T5" s="142" t="s">
        <v>193</v>
      </c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</row>
    <row r="6" spans="1:26" ht="24" customHeight="1">
      <c r="A6" s="140"/>
      <c r="B6" s="75"/>
      <c r="C6" s="75"/>
      <c r="E6" s="26"/>
      <c r="F6" s="26"/>
      <c r="G6" s="26"/>
      <c r="R6" s="75"/>
      <c r="S6" s="141"/>
      <c r="T6" s="141"/>
      <c r="U6" s="141"/>
      <c r="V6" s="141"/>
      <c r="W6" s="141"/>
      <c r="X6" s="141"/>
      <c r="Y6" s="141"/>
      <c r="Z6" s="75"/>
    </row>
    <row r="7" spans="1:26" ht="3.75" customHeight="1">
      <c r="A7" s="75"/>
      <c r="B7" s="75"/>
      <c r="C7" s="75"/>
      <c r="R7" s="75"/>
      <c r="S7" s="75"/>
      <c r="T7" s="75"/>
      <c r="U7" s="75"/>
      <c r="V7" s="75"/>
      <c r="W7" s="75"/>
      <c r="X7" s="75"/>
      <c r="Y7" s="75"/>
      <c r="Z7" s="75"/>
    </row>
    <row r="8" spans="1:103" s="43" customFormat="1" ht="14.25" customHeight="1">
      <c r="A8" s="127" t="s">
        <v>0</v>
      </c>
      <c r="I8" s="512" t="str">
        <f>'INGRESO DE DATOS'!$F$3</f>
        <v>#</v>
      </c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1" t="s">
        <v>118</v>
      </c>
      <c r="U8" s="511"/>
      <c r="V8" s="511"/>
      <c r="W8" s="511"/>
      <c r="X8" s="512" t="str">
        <f>'INGRESO DE DATOS'!$F$4</f>
        <v>#</v>
      </c>
      <c r="Y8" s="512"/>
      <c r="Z8" s="512"/>
      <c r="AA8" s="512"/>
      <c r="AB8" s="512"/>
      <c r="AC8" s="512"/>
      <c r="AD8" s="512"/>
      <c r="AE8" s="512"/>
      <c r="AF8" s="512"/>
      <c r="AG8" s="512"/>
      <c r="AH8" s="526" t="s">
        <v>1</v>
      </c>
      <c r="AI8" s="526"/>
      <c r="AJ8" s="526"/>
      <c r="AK8" s="526"/>
      <c r="AL8" s="526"/>
      <c r="AM8" s="526"/>
      <c r="AN8" s="512" t="str">
        <f>'INGRESO DE DATOS'!$F$5</f>
        <v>#</v>
      </c>
      <c r="AO8" s="512"/>
      <c r="AP8" s="512"/>
      <c r="AQ8" s="512"/>
      <c r="AR8" s="512"/>
      <c r="AS8" s="512"/>
      <c r="AT8" s="512"/>
      <c r="AU8" s="512"/>
      <c r="AV8" s="512"/>
      <c r="AW8" s="127" t="s">
        <v>2</v>
      </c>
      <c r="AX8" s="127"/>
      <c r="BB8" s="532" t="str">
        <f>'INGRESO DE DATOS'!$F$6</f>
        <v>#</v>
      </c>
      <c r="BC8" s="532"/>
      <c r="BD8" s="532"/>
      <c r="BE8" s="532"/>
      <c r="BF8" s="532"/>
      <c r="BG8" s="280" t="s">
        <v>3</v>
      </c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</row>
    <row r="9" spans="1:70" ht="15">
      <c r="A9" s="513" t="str">
        <f>'INGRESO DE DATOS'!$F$7</f>
        <v>#</v>
      </c>
      <c r="B9" s="513"/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3"/>
      <c r="O9" s="513"/>
      <c r="P9" s="513"/>
      <c r="Q9" s="513"/>
      <c r="R9" s="513"/>
      <c r="S9" s="513"/>
      <c r="T9" s="513"/>
      <c r="U9" s="513"/>
      <c r="V9" s="513"/>
      <c r="W9" s="513"/>
      <c r="X9" s="513"/>
      <c r="Y9" s="513"/>
      <c r="Z9" s="514" t="s">
        <v>120</v>
      </c>
      <c r="AA9" s="514"/>
      <c r="AB9" s="514"/>
      <c r="AC9" s="514"/>
      <c r="AD9" s="525" t="str">
        <f>'INGRESO DE DATOS'!$F$8</f>
        <v>#</v>
      </c>
      <c r="AE9" s="525"/>
      <c r="AF9" s="525"/>
      <c r="AG9" s="525"/>
      <c r="AH9" s="525"/>
      <c r="AI9" s="525"/>
      <c r="AJ9" s="525"/>
      <c r="AK9" s="525"/>
      <c r="AL9" s="525"/>
      <c r="AM9" s="150" t="s">
        <v>185</v>
      </c>
      <c r="AP9" s="150"/>
      <c r="AS9" s="533" t="str">
        <f>'INGRESO DE DATOS'!$F$9</f>
        <v>#</v>
      </c>
      <c r="AT9" s="533"/>
      <c r="AU9" s="533"/>
      <c r="AV9" s="533"/>
      <c r="AW9" s="533"/>
      <c r="AX9" s="533"/>
      <c r="AY9" s="533"/>
      <c r="AZ9" s="533"/>
      <c r="BA9" s="533"/>
      <c r="BB9" s="533"/>
      <c r="BC9" s="533"/>
      <c r="BD9" s="533"/>
      <c r="BE9" s="533"/>
      <c r="BF9" s="533"/>
      <c r="BG9" s="533"/>
      <c r="BH9" s="533"/>
      <c r="BI9" s="533"/>
      <c r="BJ9" s="533"/>
      <c r="BN9" s="17"/>
      <c r="BO9" s="17"/>
      <c r="BP9" s="17"/>
      <c r="BQ9" s="17"/>
      <c r="BR9" s="17"/>
    </row>
    <row r="10" spans="1:68" ht="12.75">
      <c r="A10" s="24" t="s">
        <v>184</v>
      </c>
      <c r="F10" s="515" t="str">
        <f>'INGRESO DE DATOS'!$F$14</f>
        <v>EL MISMO</v>
      </c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17" t="s">
        <v>195</v>
      </c>
      <c r="Z10" s="122"/>
      <c r="AA10" s="122"/>
      <c r="AN10" s="513" t="str">
        <f>'INGRESO DE DATOS'!$F$15</f>
        <v>#</v>
      </c>
      <c r="AO10" s="513"/>
      <c r="AP10" s="513"/>
      <c r="AQ10" s="513"/>
      <c r="AR10" s="513"/>
      <c r="AS10" s="513"/>
      <c r="AT10" s="513"/>
      <c r="AU10" s="513"/>
      <c r="AV10" s="513"/>
      <c r="AW10" s="513"/>
      <c r="AX10" s="513"/>
      <c r="AY10" s="513"/>
      <c r="AZ10" s="513"/>
      <c r="BA10" s="513"/>
      <c r="BB10" s="513"/>
      <c r="BC10" s="513"/>
      <c r="BD10" s="513"/>
      <c r="BE10" s="513"/>
      <c r="BF10" s="513"/>
      <c r="BG10" s="513"/>
      <c r="BH10" s="513"/>
      <c r="BI10" s="513"/>
      <c r="BJ10" s="513"/>
      <c r="BP10" s="150"/>
    </row>
    <row r="11" spans="1:93" ht="12.75">
      <c r="A11" s="514" t="s">
        <v>261</v>
      </c>
      <c r="B11" s="514"/>
      <c r="C11" s="514"/>
      <c r="D11" s="516" t="str">
        <f>'INGRESO DE DATOS'!$F$16</f>
        <v>#</v>
      </c>
      <c r="E11" s="516"/>
      <c r="F11" s="516"/>
      <c r="G11" s="516"/>
      <c r="H11" s="516"/>
      <c r="I11" s="516"/>
      <c r="J11" s="516"/>
      <c r="K11" s="14" t="s">
        <v>4</v>
      </c>
      <c r="V11" s="516" t="str">
        <f>'INGRESO DE DATOS'!$F$17</f>
        <v>#</v>
      </c>
      <c r="W11" s="516"/>
      <c r="X11" s="516"/>
      <c r="Y11" s="516"/>
      <c r="Z11" s="516"/>
      <c r="AA11" s="516"/>
      <c r="AB11" s="516"/>
      <c r="AC11" s="516"/>
      <c r="AD11" s="516"/>
      <c r="AE11" s="516"/>
      <c r="AF11" s="516"/>
      <c r="AG11" s="516"/>
      <c r="AH11" s="516"/>
      <c r="AI11" s="516"/>
      <c r="AJ11" s="280" t="s">
        <v>198</v>
      </c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516" t="str">
        <f>'INGRESO DE DATOS'!$F$18</f>
        <v>#</v>
      </c>
      <c r="AV11" s="516"/>
      <c r="AW11" s="516"/>
      <c r="AX11" s="516"/>
      <c r="AY11" s="516"/>
      <c r="BA11" s="27" t="s">
        <v>199</v>
      </c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</row>
    <row r="12" spans="1:57" ht="12.75">
      <c r="A12" s="24" t="s">
        <v>200</v>
      </c>
      <c r="C12" s="513" t="str">
        <f>'INGRESO DE DATOS'!$F$19</f>
        <v>#</v>
      </c>
      <c r="D12" s="513"/>
      <c r="E12" s="513"/>
      <c r="F12" s="513"/>
      <c r="G12" s="513"/>
      <c r="H12" s="513"/>
      <c r="I12" s="513"/>
      <c r="J12" s="513"/>
      <c r="K12" s="513"/>
      <c r="L12" s="513"/>
      <c r="M12" s="513"/>
      <c r="N12" s="513"/>
      <c r="O12" s="513"/>
      <c r="P12" s="513"/>
      <c r="Q12" s="513"/>
      <c r="R12" s="513"/>
      <c r="S12" s="513"/>
      <c r="T12" s="513"/>
      <c r="U12" s="533" t="str">
        <f>'INGRESO DE DATOS'!$F$20</f>
        <v>#</v>
      </c>
      <c r="V12" s="533"/>
      <c r="W12" s="533"/>
      <c r="X12" s="533"/>
      <c r="Y12" s="533"/>
      <c r="Z12" s="533"/>
      <c r="AA12" s="533"/>
      <c r="AB12" s="533"/>
      <c r="AC12" s="533"/>
      <c r="AD12" s="533"/>
      <c r="AE12" s="514" t="s">
        <v>202</v>
      </c>
      <c r="AF12" s="514"/>
      <c r="AG12" s="514"/>
      <c r="AH12" s="514"/>
      <c r="AI12" s="514"/>
      <c r="AJ12" s="514"/>
      <c r="AK12" s="542" t="str">
        <f>'INGRESO DE DATOS'!$F$21</f>
        <v>EL MISMO,</v>
      </c>
      <c r="AL12" s="542"/>
      <c r="AM12" s="542"/>
      <c r="AN12" s="542"/>
      <c r="AO12" s="542"/>
      <c r="AP12" s="542"/>
      <c r="AQ12" s="542"/>
      <c r="AR12" s="542"/>
      <c r="AS12" s="542"/>
      <c r="AT12" s="542"/>
      <c r="AU12" s="542"/>
      <c r="AV12" s="542"/>
      <c r="AW12" s="542"/>
      <c r="AX12" s="542"/>
      <c r="AY12" s="542"/>
      <c r="AZ12" s="542"/>
      <c r="BA12" s="542"/>
      <c r="BB12" s="542"/>
      <c r="BC12" s="542"/>
      <c r="BD12" s="542"/>
      <c r="BE12" s="17" t="s">
        <v>203</v>
      </c>
    </row>
    <row r="13" spans="1:86" ht="12.75">
      <c r="A13" s="17" t="s">
        <v>201</v>
      </c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17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17"/>
      <c r="BX13" s="291"/>
      <c r="BZ13" s="291"/>
      <c r="CA13" s="291"/>
      <c r="CB13" s="291"/>
      <c r="CC13" s="291"/>
      <c r="CD13" s="291"/>
      <c r="CE13" s="291"/>
      <c r="CF13" s="291"/>
      <c r="CG13" s="291"/>
      <c r="CH13" s="291"/>
    </row>
    <row r="14" spans="1:62" ht="12.75">
      <c r="A14" s="8" t="s">
        <v>197</v>
      </c>
      <c r="E14" s="29"/>
      <c r="G14" s="25"/>
      <c r="Z14" s="121"/>
      <c r="AI14" s="510" t="str">
        <f>'INGRESO DE DATOS'!$F$22</f>
        <v>PROYECTO/DIRECCION y DIREC. EJECUTIVA</v>
      </c>
      <c r="AJ14" s="510"/>
      <c r="AK14" s="510"/>
      <c r="AL14" s="510"/>
      <c r="AM14" s="510"/>
      <c r="AN14" s="510"/>
      <c r="AO14" s="510"/>
      <c r="AP14" s="510"/>
      <c r="AQ14" s="510"/>
      <c r="AR14" s="510"/>
      <c r="AS14" s="510"/>
      <c r="AT14" s="510"/>
      <c r="AU14" s="510"/>
      <c r="AV14" s="510"/>
      <c r="AW14" s="510"/>
      <c r="AX14" s="510"/>
      <c r="AY14" s="510"/>
      <c r="AZ14" s="510"/>
      <c r="BA14" s="510"/>
      <c r="BB14" s="510"/>
      <c r="BC14" s="510"/>
      <c r="BD14" s="510"/>
      <c r="BE14" s="510"/>
      <c r="BF14" s="510"/>
      <c r="BH14" s="514" t="s">
        <v>5</v>
      </c>
      <c r="BI14" s="514"/>
      <c r="BJ14" s="514"/>
    </row>
    <row r="15" spans="6:65" ht="12.75">
      <c r="F15" s="510" t="str">
        <f>'INGRESO DE DATOS'!$F$23</f>
        <v>INSTALACION DE GAS NATURAL </v>
      </c>
      <c r="G15" s="510"/>
      <c r="H15" s="510"/>
      <c r="I15" s="510"/>
      <c r="J15" s="510"/>
      <c r="K15" s="510"/>
      <c r="L15" s="510"/>
      <c r="M15" s="510"/>
      <c r="N15" s="510"/>
      <c r="O15" s="510"/>
      <c r="P15" s="510"/>
      <c r="Q15" s="510"/>
      <c r="R15" s="510"/>
      <c r="S15" s="510"/>
      <c r="T15" s="510"/>
      <c r="U15" s="510"/>
      <c r="V15" s="510"/>
      <c r="W15" s="510"/>
      <c r="X15" s="510"/>
      <c r="Y15" s="510"/>
      <c r="Z15" s="510"/>
      <c r="AA15" s="510"/>
      <c r="AB15" s="510"/>
      <c r="AC15" s="24" t="s">
        <v>269</v>
      </c>
      <c r="AD15" s="150"/>
      <c r="AE15" s="150"/>
      <c r="AI15" s="510">
        <f>'INGRESO DE DATOS'!$F$24</f>
        <v>0</v>
      </c>
      <c r="AJ15" s="510"/>
      <c r="AK15" s="510"/>
      <c r="AL15" s="510"/>
      <c r="AM15" s="510"/>
      <c r="AN15" s="510"/>
      <c r="AO15" s="510"/>
      <c r="AP15" s="510"/>
      <c r="AQ15" s="510"/>
      <c r="AR15" s="510"/>
      <c r="AS15" s="510"/>
      <c r="AT15" s="510"/>
      <c r="AU15" s="510"/>
      <c r="AV15" s="510"/>
      <c r="AW15" s="510"/>
      <c r="AX15" s="510"/>
      <c r="AY15" s="510"/>
      <c r="AZ15" s="31" t="s">
        <v>270</v>
      </c>
      <c r="BK15" s="282"/>
      <c r="BL15" s="282"/>
      <c r="BM15" s="282"/>
    </row>
    <row r="16" spans="1:70" ht="12.75">
      <c r="A16" s="516" t="str">
        <f>'INGRESO DE DATOS'!$F$25</f>
        <v>#</v>
      </c>
      <c r="B16" s="516"/>
      <c r="C16" s="516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  <c r="O16" s="516"/>
      <c r="P16" s="516"/>
      <c r="Q16" s="516"/>
      <c r="R16" s="516" t="str">
        <f>'INGRESO DE DATOS'!$F$26</f>
        <v>#</v>
      </c>
      <c r="S16" s="516"/>
      <c r="T16" s="516"/>
      <c r="U16" s="516"/>
      <c r="V16" s="516"/>
      <c r="W16" s="516"/>
      <c r="X16" s="516"/>
      <c r="Y16" s="516"/>
      <c r="Z16" s="24" t="s">
        <v>284</v>
      </c>
      <c r="AH16" s="516" t="str">
        <f>'INGRESO DE DATOS'!$F$27</f>
        <v>#</v>
      </c>
      <c r="AI16" s="516"/>
      <c r="AJ16" s="516"/>
      <c r="AK16" s="516"/>
      <c r="AL16" s="516"/>
      <c r="AM16" s="516"/>
      <c r="AN16" s="516"/>
      <c r="AO16" s="516"/>
      <c r="AP16" s="516"/>
      <c r="AQ16" s="516"/>
      <c r="AR16" s="516"/>
      <c r="AS16" s="518" t="s">
        <v>298</v>
      </c>
      <c r="AT16" s="518"/>
      <c r="AU16" s="518"/>
      <c r="AV16" s="518"/>
      <c r="AW16" s="518"/>
      <c r="AX16" s="516" t="str">
        <f>'INGRESO DE DATOS'!$F$29</f>
        <v>#</v>
      </c>
      <c r="AY16" s="516"/>
      <c r="AZ16" s="516"/>
      <c r="BA16" s="516"/>
      <c r="BB16" s="516"/>
      <c r="BC16" s="516"/>
      <c r="BD16" s="516"/>
      <c r="BE16" s="516"/>
      <c r="BF16" s="516"/>
      <c r="BG16" s="516"/>
      <c r="BH16" s="516"/>
      <c r="BI16" s="516"/>
      <c r="BJ16" s="516"/>
      <c r="BK16" s="516"/>
      <c r="BL16" s="291"/>
      <c r="BM16" s="291"/>
      <c r="BN16" s="291"/>
      <c r="BO16" s="291"/>
      <c r="BP16" s="291"/>
      <c r="BQ16" s="291"/>
      <c r="BR16" s="291"/>
    </row>
    <row r="17" spans="1:62" ht="15.75">
      <c r="A17" s="524" t="s">
        <v>186</v>
      </c>
      <c r="B17" s="524"/>
      <c r="C17" s="524"/>
      <c r="D17" s="524"/>
      <c r="E17" s="524"/>
      <c r="F17" s="524"/>
      <c r="G17" s="524"/>
      <c r="H17" s="524"/>
      <c r="I17" s="518" t="s">
        <v>6</v>
      </c>
      <c r="J17" s="518"/>
      <c r="K17" s="518"/>
      <c r="L17" s="528" t="str">
        <f>'INGRESO DE DATOS'!F31</f>
        <v>#</v>
      </c>
      <c r="M17" s="528"/>
      <c r="N17" s="528"/>
      <c r="O17" s="515" t="s">
        <v>206</v>
      </c>
      <c r="P17" s="515"/>
      <c r="Q17" s="515"/>
      <c r="R17" s="515"/>
      <c r="S17" s="528" t="str">
        <f>'INGRESO DE DATOS'!F32</f>
        <v>#</v>
      </c>
      <c r="T17" s="528"/>
      <c r="U17" s="528"/>
      <c r="V17" s="528"/>
      <c r="W17" s="515" t="s">
        <v>209</v>
      </c>
      <c r="X17" s="518"/>
      <c r="Y17" s="518"/>
      <c r="Z17" s="518"/>
      <c r="AA17" s="518"/>
      <c r="AB17" s="518"/>
      <c r="AC17" s="528" t="str">
        <f>'INGRESO DE DATOS'!$F$30</f>
        <v>#</v>
      </c>
      <c r="AD17" s="528"/>
      <c r="AE17" s="528"/>
      <c r="AF17" s="528"/>
      <c r="AG17" s="515" t="s">
        <v>210</v>
      </c>
      <c r="AH17" s="515"/>
      <c r="AI17" s="515"/>
      <c r="AJ17" s="515"/>
      <c r="AK17" s="528" t="str">
        <f>'INGRESO DE DATOS'!F33</f>
        <v>#</v>
      </c>
      <c r="AL17" s="528"/>
      <c r="AM17" s="528"/>
      <c r="AN17" s="528"/>
      <c r="AO17" s="515" t="s">
        <v>207</v>
      </c>
      <c r="AP17" s="518"/>
      <c r="AQ17" s="518"/>
      <c r="AR17" s="518"/>
      <c r="AS17" s="528" t="str">
        <f>'INGRESO DE DATOS'!F34</f>
        <v>#</v>
      </c>
      <c r="AT17" s="528"/>
      <c r="AU17" s="528"/>
      <c r="AV17" s="121" t="s">
        <v>208</v>
      </c>
      <c r="AZ17" s="523" t="str">
        <f>'INGRESO DE DATOS'!$F$35</f>
        <v>#</v>
      </c>
      <c r="BA17" s="523"/>
      <c r="BB17" s="523"/>
      <c r="BC17" s="523"/>
      <c r="BD17" s="523"/>
      <c r="BE17" s="523"/>
      <c r="BF17" s="523"/>
      <c r="BG17" s="523"/>
      <c r="BH17" s="523"/>
      <c r="BI17" s="523"/>
      <c r="BJ17" s="523"/>
    </row>
    <row r="18" spans="1:62" ht="15.75">
      <c r="A18" s="272"/>
      <c r="B18" s="272"/>
      <c r="C18" s="272"/>
      <c r="D18" s="272"/>
      <c r="E18" s="272"/>
      <c r="F18" s="272"/>
      <c r="G18" s="272"/>
      <c r="H18" s="272"/>
      <c r="I18" s="515" t="s">
        <v>301</v>
      </c>
      <c r="J18" s="518"/>
      <c r="K18" s="518"/>
      <c r="L18" s="523" t="str">
        <f>'INGRESO DE DATOS'!$F$36</f>
        <v>#</v>
      </c>
      <c r="M18" s="523"/>
      <c r="N18" s="523"/>
      <c r="O18" s="523"/>
      <c r="P18" s="523"/>
      <c r="Q18" s="523"/>
      <c r="R18" s="523"/>
      <c r="S18" s="523"/>
      <c r="T18" s="523"/>
      <c r="U18" s="523"/>
      <c r="V18" s="523"/>
      <c r="W18" s="523"/>
      <c r="X18" s="523"/>
      <c r="Y18" s="523"/>
      <c r="Z18" s="523"/>
      <c r="AA18" s="523"/>
      <c r="AB18" s="523"/>
      <c r="AC18" s="523"/>
      <c r="AD18" s="523"/>
      <c r="AE18" s="523"/>
      <c r="AF18" s="523"/>
      <c r="AG18" s="523"/>
      <c r="AH18" s="523"/>
      <c r="AI18" s="523"/>
      <c r="AJ18" s="523"/>
      <c r="AK18" s="523"/>
      <c r="AL18" s="523"/>
      <c r="AM18" s="523"/>
      <c r="AN18" s="523"/>
      <c r="AO18" s="523"/>
      <c r="AP18" s="523"/>
      <c r="AQ18" s="523"/>
      <c r="AR18" s="523"/>
      <c r="AS18" s="523"/>
      <c r="AT18" s="523"/>
      <c r="AU18" s="523"/>
      <c r="AV18" s="523"/>
      <c r="AW18" s="523"/>
      <c r="AX18" s="523"/>
      <c r="AY18" s="523"/>
      <c r="AZ18" s="523"/>
      <c r="BA18" s="523"/>
      <c r="BB18" s="523"/>
      <c r="BC18" s="523"/>
      <c r="BD18" s="523"/>
      <c r="BE18" s="523"/>
      <c r="BF18" s="523"/>
      <c r="BG18" s="523"/>
      <c r="BH18" s="523"/>
      <c r="BI18" s="523"/>
      <c r="BJ18" s="523"/>
    </row>
    <row r="19" spans="1:62" ht="15.75">
      <c r="A19" s="272"/>
      <c r="B19" s="272"/>
      <c r="C19" s="272"/>
      <c r="D19" s="272"/>
      <c r="E19" s="272"/>
      <c r="F19" s="272"/>
      <c r="G19" s="272"/>
      <c r="H19" s="272"/>
      <c r="I19" s="28"/>
      <c r="J19" s="30"/>
      <c r="K19" s="30"/>
      <c r="L19" s="523" t="str">
        <f>'INGRESO DE DATOS'!$F$37</f>
        <v>#</v>
      </c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523"/>
      <c r="AA19" s="523"/>
      <c r="AB19" s="523"/>
      <c r="AC19" s="523"/>
      <c r="AD19" s="523"/>
      <c r="AE19" s="523"/>
      <c r="AF19" s="523"/>
      <c r="AG19" s="523"/>
      <c r="AH19" s="523"/>
      <c r="AI19" s="523"/>
      <c r="AJ19" s="523"/>
      <c r="AK19" s="523"/>
      <c r="AL19" s="523"/>
      <c r="AM19" s="523"/>
      <c r="AN19" s="523"/>
      <c r="AO19" s="523"/>
      <c r="AP19" s="523"/>
      <c r="AQ19" s="523"/>
      <c r="AR19" s="523"/>
      <c r="AS19" s="523"/>
      <c r="AT19" s="523"/>
      <c r="AU19" s="523"/>
      <c r="AV19" s="523"/>
      <c r="AW19" s="523"/>
      <c r="AX19" s="523"/>
      <c r="AY19" s="523"/>
      <c r="AZ19" s="523"/>
      <c r="BA19" s="523"/>
      <c r="BB19" s="523"/>
      <c r="BC19" s="523"/>
      <c r="BD19" s="523"/>
      <c r="BE19" s="523"/>
      <c r="BF19" s="523"/>
      <c r="BG19" s="523"/>
      <c r="BH19" s="523"/>
      <c r="BI19" s="523"/>
      <c r="BJ19" s="523"/>
    </row>
    <row r="20" spans="1:62" ht="15.75">
      <c r="A20" s="272"/>
      <c r="B20" s="272"/>
      <c r="C20" s="272"/>
      <c r="D20" s="272"/>
      <c r="E20" s="272"/>
      <c r="F20" s="272"/>
      <c r="G20" s="272"/>
      <c r="H20" s="272"/>
      <c r="I20" s="28"/>
      <c r="J20" s="30"/>
      <c r="K20" s="30"/>
      <c r="L20" s="523" t="str">
        <f>'INGRESO DE DATOS'!$F$38</f>
        <v>#</v>
      </c>
      <c r="M20" s="523"/>
      <c r="N20" s="523"/>
      <c r="O20" s="523"/>
      <c r="P20" s="523"/>
      <c r="Q20" s="523"/>
      <c r="R20" s="523"/>
      <c r="S20" s="523"/>
      <c r="T20" s="523"/>
      <c r="U20" s="523"/>
      <c r="V20" s="523"/>
      <c r="W20" s="523"/>
      <c r="X20" s="523"/>
      <c r="Y20" s="523"/>
      <c r="Z20" s="523"/>
      <c r="AA20" s="523"/>
      <c r="AB20" s="523"/>
      <c r="AC20" s="523"/>
      <c r="AD20" s="523"/>
      <c r="AE20" s="523"/>
      <c r="AF20" s="523"/>
      <c r="AG20" s="523"/>
      <c r="AH20" s="523"/>
      <c r="AI20" s="523"/>
      <c r="AJ20" s="523"/>
      <c r="AK20" s="523"/>
      <c r="AL20" s="523"/>
      <c r="AM20" s="523"/>
      <c r="AN20" s="523"/>
      <c r="AO20" s="523"/>
      <c r="AP20" s="523"/>
      <c r="AQ20" s="523"/>
      <c r="AR20" s="523"/>
      <c r="AS20" s="523"/>
      <c r="AT20" s="523"/>
      <c r="AU20" s="523"/>
      <c r="AV20" s="523"/>
      <c r="AW20" s="523"/>
      <c r="AX20" s="523"/>
      <c r="AY20" s="523"/>
      <c r="AZ20" s="523"/>
      <c r="BA20" s="523"/>
      <c r="BB20" s="523"/>
      <c r="BC20" s="523"/>
      <c r="BD20" s="523"/>
      <c r="BE20" s="523"/>
      <c r="BF20" s="523"/>
      <c r="BG20" s="523"/>
      <c r="BH20" s="523"/>
      <c r="BI20" s="523"/>
      <c r="BJ20" s="523"/>
    </row>
    <row r="21" spans="1:67" ht="12.75">
      <c r="A21" s="510" t="s">
        <v>212</v>
      </c>
      <c r="B21" s="510"/>
      <c r="C21" s="510"/>
      <c r="D21" s="510"/>
      <c r="E21" s="510"/>
      <c r="F21" s="510"/>
      <c r="G21" s="14" t="s">
        <v>257</v>
      </c>
      <c r="I21" s="17"/>
      <c r="J21" s="17"/>
      <c r="K21" s="17"/>
      <c r="BN21" s="31"/>
      <c r="BO21" s="75"/>
    </row>
    <row r="22" spans="1:95" ht="15.75">
      <c r="A22" s="510" t="s">
        <v>211</v>
      </c>
      <c r="B22" s="510"/>
      <c r="C22" s="510"/>
      <c r="D22" s="510"/>
      <c r="E22" s="510"/>
      <c r="F22" s="510"/>
      <c r="G22" s="543" t="s">
        <v>213</v>
      </c>
      <c r="H22" s="543"/>
      <c r="I22" s="543"/>
      <c r="J22" s="543"/>
      <c r="K22" s="543"/>
      <c r="L22" s="543"/>
      <c r="M22" s="543"/>
      <c r="N22" s="543"/>
      <c r="O22" s="543"/>
      <c r="P22" s="543"/>
      <c r="Q22" s="543"/>
      <c r="R22" s="543"/>
      <c r="S22" s="543"/>
      <c r="T22" s="543"/>
      <c r="U22" s="543"/>
      <c r="V22" s="543"/>
      <c r="W22" s="543"/>
      <c r="X22" s="543"/>
      <c r="Y22" s="543"/>
      <c r="Z22" s="543"/>
      <c r="AA22" s="543"/>
      <c r="AB22" s="543"/>
      <c r="AC22" s="543"/>
      <c r="AD22" s="543"/>
      <c r="AE22" s="543"/>
      <c r="AN22" s="24"/>
      <c r="AS22" s="24"/>
      <c r="BK22" s="293"/>
      <c r="BL22" s="293"/>
      <c r="BM22" s="293"/>
      <c r="BN22" s="293"/>
      <c r="BO22" s="293"/>
      <c r="BP22" s="293"/>
      <c r="BQ22" s="293"/>
      <c r="BR22" s="293"/>
      <c r="BS22" s="293"/>
      <c r="BT22" s="293"/>
      <c r="BU22" s="293"/>
      <c r="BV22" s="293"/>
      <c r="BW22" s="293"/>
      <c r="BX22" s="293"/>
      <c r="BY22" s="293"/>
      <c r="BZ22" s="293"/>
      <c r="CA22" s="293"/>
      <c r="CB22" s="293"/>
      <c r="CC22" s="293"/>
      <c r="CD22" s="293"/>
      <c r="CE22" s="293"/>
      <c r="CF22" s="293"/>
      <c r="CG22" s="293"/>
      <c r="CH22" s="293"/>
      <c r="CI22" s="293"/>
      <c r="CJ22" s="293"/>
      <c r="CK22" s="293"/>
      <c r="CL22" s="293"/>
      <c r="CM22" s="293"/>
      <c r="CN22" s="293"/>
      <c r="CO22" s="293"/>
      <c r="CP22" s="293"/>
      <c r="CQ22" s="293"/>
    </row>
    <row r="23" spans="1:79" ht="18" customHeight="1">
      <c r="A23" s="17"/>
      <c r="B23" s="17"/>
      <c r="C23" s="549" t="str">
        <f>'INGRESO DE DATOS'!$A$59</f>
        <v>PESOS  con 00/100 Cvos.</v>
      </c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49"/>
      <c r="AK23" s="549"/>
      <c r="AL23" s="549"/>
      <c r="AM23" s="549"/>
      <c r="AN23" s="549"/>
      <c r="AO23" s="549"/>
      <c r="AP23" s="549"/>
      <c r="AQ23" s="549"/>
      <c r="AR23" s="549"/>
      <c r="AS23" s="549"/>
      <c r="AV23" s="234" t="s">
        <v>182</v>
      </c>
      <c r="AW23" s="529">
        <f>'INGRESO DE DATOS'!$G$55</f>
        <v>0</v>
      </c>
      <c r="AX23" s="529"/>
      <c r="AY23" s="529"/>
      <c r="AZ23" s="529"/>
      <c r="BA23" s="529"/>
      <c r="BB23" s="529"/>
      <c r="BC23" s="529"/>
      <c r="BD23" s="529"/>
      <c r="BE23" s="529"/>
      <c r="BF23" s="529"/>
      <c r="BG23" s="529"/>
      <c r="BH23" s="529"/>
      <c r="BI23" s="278" t="s">
        <v>214</v>
      </c>
      <c r="BO23" s="75"/>
      <c r="BP23" s="144"/>
      <c r="BQ23" s="75"/>
      <c r="BR23" s="75"/>
      <c r="BS23" s="75"/>
      <c r="CA23" s="91"/>
    </row>
    <row r="24" spans="1:83" s="17" customFormat="1" ht="12.75">
      <c r="A24" s="8" t="s">
        <v>141</v>
      </c>
      <c r="AI24" s="515" t="str">
        <f>'INGRESO DE DATOS'!$F$39</f>
        <v>VEINTICUATRO (24) MESES</v>
      </c>
      <c r="AJ24" s="515"/>
      <c r="AK24" s="515"/>
      <c r="AL24" s="515"/>
      <c r="AM24" s="515"/>
      <c r="AN24" s="515"/>
      <c r="AO24" s="515"/>
      <c r="AP24" s="515"/>
      <c r="AQ24" s="515"/>
      <c r="AR24" s="515"/>
      <c r="AS24" s="515"/>
      <c r="AT24" s="515"/>
      <c r="AU24" s="515"/>
      <c r="AV24" s="515"/>
      <c r="AW24" s="515"/>
      <c r="AX24" s="17" t="s">
        <v>130</v>
      </c>
      <c r="BP24" s="320"/>
      <c r="BQ24" s="320"/>
      <c r="BR24" s="320"/>
      <c r="BS24" s="320"/>
      <c r="BT24" s="320"/>
      <c r="BU24" s="320"/>
      <c r="BV24" s="320"/>
      <c r="BW24" s="320"/>
      <c r="BX24" s="320"/>
      <c r="BY24" s="320"/>
      <c r="BZ24" s="320"/>
      <c r="CA24" s="320"/>
      <c r="CB24" s="320"/>
      <c r="CC24" s="320"/>
      <c r="CD24" s="320"/>
      <c r="CE24" s="320"/>
    </row>
    <row r="25" spans="1:45" s="17" customFormat="1" ht="12.75">
      <c r="A25" s="17" t="s">
        <v>215</v>
      </c>
      <c r="AN25" s="197"/>
      <c r="AS25" s="197"/>
    </row>
    <row r="26" spans="1:45" s="17" customFormat="1" ht="12.75">
      <c r="A26" s="8" t="s">
        <v>216</v>
      </c>
      <c r="AN26" s="197"/>
      <c r="AS26" s="197"/>
    </row>
    <row r="27" spans="7:45" s="17" customFormat="1" ht="12.75">
      <c r="G27" s="24" t="str">
        <f>'INGRESO DE DATOS'!F40</f>
        <v>25% ANTICIPO</v>
      </c>
      <c r="AN27" s="197"/>
      <c r="AS27" s="197"/>
    </row>
    <row r="28" spans="7:45" s="17" customFormat="1" ht="12.75">
      <c r="G28" s="24" t="str">
        <f>'INGRESO DE DATOS'!F41</f>
        <v>50% A LA FIRMA DE DOCUMENTACION</v>
      </c>
      <c r="AN28" s="197"/>
      <c r="AS28" s="197"/>
    </row>
    <row r="29" spans="7:45" s="17" customFormat="1" ht="12.75">
      <c r="G29" s="24" t="str">
        <f>'INGRESO DE DATOS'!F42</f>
        <v>25% CONTRA ENTREGA DE LA DOC.</v>
      </c>
      <c r="AN29" s="197"/>
      <c r="AS29" s="197"/>
    </row>
    <row r="30" spans="1:74" s="17" customFormat="1" ht="18.75">
      <c r="A30" s="8" t="s">
        <v>226</v>
      </c>
      <c r="G30" s="14" t="s">
        <v>227</v>
      </c>
      <c r="AN30" s="197"/>
      <c r="AS30" s="197"/>
      <c r="BQ30" s="527"/>
      <c r="BR30" s="527"/>
      <c r="BS30" s="527"/>
      <c r="BT30" s="527"/>
      <c r="BU30" s="527"/>
      <c r="BV30" s="527"/>
    </row>
    <row r="31" spans="1:45" s="17" customFormat="1" ht="12.75">
      <c r="A31" s="17" t="s">
        <v>217</v>
      </c>
      <c r="F31" s="14"/>
      <c r="AN31" s="197"/>
      <c r="AS31" s="197"/>
    </row>
    <row r="32" spans="6:45" s="17" customFormat="1" ht="12.75">
      <c r="F32" s="14" t="s">
        <v>218</v>
      </c>
      <c r="AN32" s="197"/>
      <c r="AS32" s="197"/>
    </row>
    <row r="33" spans="1:45" s="17" customFormat="1" ht="12.75">
      <c r="A33" s="8" t="s">
        <v>224</v>
      </c>
      <c r="G33" s="14" t="s">
        <v>225</v>
      </c>
      <c r="AN33" s="197"/>
      <c r="AS33" s="197"/>
    </row>
    <row r="34" spans="6:45" s="17" customFormat="1" ht="12.75">
      <c r="F34" s="14" t="s">
        <v>219</v>
      </c>
      <c r="AN34" s="197"/>
      <c r="AS34" s="197"/>
    </row>
    <row r="35" spans="1:63" s="17" customFormat="1" ht="12.75">
      <c r="A35" s="8" t="s">
        <v>220</v>
      </c>
      <c r="G35" s="294" t="s">
        <v>221</v>
      </c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  <c r="BD35" s="294"/>
      <c r="BE35" s="294"/>
      <c r="BF35" s="294"/>
      <c r="BG35" s="294"/>
      <c r="BH35" s="294"/>
      <c r="BI35" s="294"/>
      <c r="BJ35" s="294"/>
      <c r="BK35" s="294"/>
    </row>
    <row r="36" spans="40:45" s="17" customFormat="1" ht="12.75">
      <c r="AN36" s="197"/>
      <c r="AS36" s="197"/>
    </row>
    <row r="37" spans="1:67" s="17" customFormat="1" ht="12.75">
      <c r="A37" s="8" t="s">
        <v>222</v>
      </c>
      <c r="G37" s="294" t="s">
        <v>223</v>
      </c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4"/>
      <c r="AK37" s="294"/>
      <c r="AL37" s="294"/>
      <c r="AM37" s="294"/>
      <c r="AN37" s="294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  <c r="BD37" s="294"/>
      <c r="BE37" s="294"/>
      <c r="BF37" s="294"/>
      <c r="BG37" s="294"/>
      <c r="BH37" s="294"/>
      <c r="BI37" s="294"/>
      <c r="BJ37" s="294"/>
      <c r="BK37" s="294"/>
      <c r="BL37" s="294"/>
      <c r="BM37" s="294"/>
      <c r="BN37" s="294"/>
      <c r="BO37" s="294"/>
    </row>
    <row r="38" spans="7:45" s="17" customFormat="1" ht="12.75">
      <c r="G38" s="296" t="s">
        <v>228</v>
      </c>
      <c r="AN38" s="197"/>
      <c r="AS38" s="197"/>
    </row>
    <row r="39" spans="7:45" s="17" customFormat="1" ht="12.75">
      <c r="G39" s="14" t="s">
        <v>229</v>
      </c>
      <c r="AN39" s="197"/>
      <c r="AS39" s="197"/>
    </row>
    <row r="40" spans="7:45" s="17" customFormat="1" ht="12.75">
      <c r="G40" s="14" t="s">
        <v>230</v>
      </c>
      <c r="AN40" s="197"/>
      <c r="AS40" s="197"/>
    </row>
    <row r="41" spans="1:56" s="17" customFormat="1" ht="12.75">
      <c r="A41" s="8" t="s">
        <v>231</v>
      </c>
      <c r="H41" s="294" t="s">
        <v>235</v>
      </c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4"/>
      <c r="AJ41" s="294"/>
      <c r="AK41" s="294"/>
      <c r="AL41" s="294"/>
      <c r="AM41" s="294"/>
      <c r="AN41" s="294"/>
      <c r="AO41" s="294"/>
      <c r="AP41" s="294"/>
      <c r="AQ41" s="294"/>
      <c r="AR41" s="294"/>
      <c r="AS41" s="294"/>
      <c r="AT41" s="294"/>
      <c r="AU41" s="294"/>
      <c r="AV41" s="294"/>
      <c r="AW41" s="294"/>
      <c r="AX41" s="294"/>
      <c r="AY41" s="294"/>
      <c r="AZ41" s="294"/>
      <c r="BA41" s="294"/>
      <c r="BB41" s="294"/>
      <c r="BC41" s="294"/>
      <c r="BD41" s="294"/>
    </row>
    <row r="42" spans="8:45" s="17" customFormat="1" ht="12.75">
      <c r="H42" s="14" t="s">
        <v>234</v>
      </c>
      <c r="AN42" s="197"/>
      <c r="AS42" s="197"/>
    </row>
    <row r="43" spans="1:45" s="17" customFormat="1" ht="12.75">
      <c r="A43" s="8" t="s">
        <v>233</v>
      </c>
      <c r="H43" s="294" t="s">
        <v>237</v>
      </c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AN43" s="197"/>
      <c r="AS43" s="197"/>
    </row>
    <row r="44" spans="8:45" s="17" customFormat="1" ht="12.75">
      <c r="H44" s="295" t="s">
        <v>238</v>
      </c>
      <c r="AN44" s="197"/>
      <c r="AS44" s="197"/>
    </row>
    <row r="45" spans="8:45" s="17" customFormat="1" ht="12.75">
      <c r="H45" s="17" t="s">
        <v>239</v>
      </c>
      <c r="AN45" s="197"/>
      <c r="AS45" s="197"/>
    </row>
    <row r="46" spans="1:45" s="17" customFormat="1" ht="12.75">
      <c r="A46" s="8"/>
      <c r="H46" s="17" t="s">
        <v>240</v>
      </c>
      <c r="AN46" s="197"/>
      <c r="AS46" s="197"/>
    </row>
    <row r="47" spans="1:45" s="17" customFormat="1" ht="12.75">
      <c r="A47" s="8"/>
      <c r="D47" s="298" t="s">
        <v>242</v>
      </c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AN47" s="197"/>
      <c r="AS47" s="197"/>
    </row>
    <row r="48" spans="1:45" s="17" customFormat="1" ht="12.75">
      <c r="A48" s="8"/>
      <c r="D48" s="298"/>
      <c r="F48" s="299" t="s">
        <v>244</v>
      </c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AN48" s="197"/>
      <c r="AS48" s="197"/>
    </row>
    <row r="49" spans="1:45" s="17" customFormat="1" ht="12.75">
      <c r="A49" s="8"/>
      <c r="D49" s="298"/>
      <c r="F49" s="298" t="s">
        <v>243</v>
      </c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AN49" s="197"/>
      <c r="AS49" s="197"/>
    </row>
    <row r="50" spans="1:45" s="17" customFormat="1" ht="12.75">
      <c r="A50" s="8"/>
      <c r="D50" s="298" t="s">
        <v>241</v>
      </c>
      <c r="E50" s="298"/>
      <c r="F50" s="298"/>
      <c r="G50" s="298"/>
      <c r="H50" s="298"/>
      <c r="I50" s="298"/>
      <c r="J50" s="298"/>
      <c r="K50" s="298"/>
      <c r="L50" s="298"/>
      <c r="M50" s="298"/>
      <c r="AN50" s="197"/>
      <c r="AS50" s="197"/>
    </row>
    <row r="51" spans="1:45" s="17" customFormat="1" ht="12.75">
      <c r="A51" s="8"/>
      <c r="D51" s="298" t="s">
        <v>245</v>
      </c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AN51" s="197"/>
      <c r="AS51" s="197"/>
    </row>
    <row r="52" spans="1:45" s="17" customFormat="1" ht="12.75">
      <c r="A52" s="8"/>
      <c r="D52" s="298"/>
      <c r="E52" s="298"/>
      <c r="F52" s="298" t="s">
        <v>246</v>
      </c>
      <c r="G52" s="298"/>
      <c r="H52" s="298"/>
      <c r="I52" s="298"/>
      <c r="J52" s="298"/>
      <c r="K52" s="298"/>
      <c r="L52" s="298"/>
      <c r="M52" s="298"/>
      <c r="N52" s="298"/>
      <c r="AN52" s="197"/>
      <c r="AS52" s="197"/>
    </row>
    <row r="53" spans="1:45" s="17" customFormat="1" ht="15" customHeight="1">
      <c r="A53" s="8"/>
      <c r="D53" s="298" t="s">
        <v>247</v>
      </c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298"/>
      <c r="AB53" s="298"/>
      <c r="AC53" s="298"/>
      <c r="AD53" s="298"/>
      <c r="AN53" s="197"/>
      <c r="AS53" s="197"/>
    </row>
    <row r="54" spans="4:45" s="17" customFormat="1" ht="15" customHeight="1">
      <c r="D54" s="298" t="s">
        <v>248</v>
      </c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N54" s="197"/>
      <c r="AS54" s="197"/>
    </row>
    <row r="55" spans="1:45" s="17" customFormat="1" ht="15" customHeight="1">
      <c r="A55" s="25"/>
      <c r="B55" s="24"/>
      <c r="D55" s="24"/>
      <c r="F55" s="17" t="s">
        <v>249</v>
      </c>
      <c r="AN55" s="197"/>
      <c r="AS55" s="197"/>
    </row>
    <row r="56" spans="1:61" s="17" customFormat="1" ht="15" customHeight="1">
      <c r="A56" s="8" t="s">
        <v>236</v>
      </c>
      <c r="B56" s="24"/>
      <c r="D56" s="24"/>
      <c r="H56" s="17" t="s">
        <v>232</v>
      </c>
      <c r="I56" s="146"/>
      <c r="J56" s="146"/>
      <c r="K56" s="134"/>
      <c r="L56" s="134"/>
      <c r="M56" s="151"/>
      <c r="N56" s="151"/>
      <c r="O56" s="151"/>
      <c r="P56" s="151"/>
      <c r="AH56" s="556" t="str">
        <f>'INGRESO DE DATOS'!$F$43</f>
        <v>Pago de derecho a cargo del comitente</v>
      </c>
      <c r="AI56" s="556"/>
      <c r="AJ56" s="556"/>
      <c r="AK56" s="556"/>
      <c r="AL56" s="556"/>
      <c r="AM56" s="556"/>
      <c r="AN56" s="556"/>
      <c r="AO56" s="556"/>
      <c r="AP56" s="556"/>
      <c r="AQ56" s="556"/>
      <c r="AR56" s="556"/>
      <c r="AS56" s="556"/>
      <c r="AT56" s="556"/>
      <c r="AU56" s="556"/>
      <c r="AV56" s="556"/>
      <c r="AW56" s="556"/>
      <c r="AX56" s="556"/>
      <c r="AY56" s="556"/>
      <c r="AZ56" s="556"/>
      <c r="BA56" s="556"/>
      <c r="BB56" s="556"/>
      <c r="BC56" s="556"/>
      <c r="BD56" s="556"/>
      <c r="BE56" s="556"/>
      <c r="BF56" s="556"/>
      <c r="BG56" s="556"/>
      <c r="BH56" s="556"/>
      <c r="BI56" s="556"/>
    </row>
    <row r="57" spans="1:40" s="17" customFormat="1" ht="15" customHeight="1">
      <c r="A57" s="8" t="s">
        <v>250</v>
      </c>
      <c r="B57" s="24"/>
      <c r="D57" s="24"/>
      <c r="H57" s="294" t="s">
        <v>251</v>
      </c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N57" s="197"/>
    </row>
    <row r="58" spans="8:40" s="17" customFormat="1" ht="12.75">
      <c r="H58" s="294" t="s">
        <v>252</v>
      </c>
      <c r="I58" s="294"/>
      <c r="J58" s="197" t="str">
        <f>'INGRESO DE DATOS'!$F$44</f>
        <v>ORIGINARIO</v>
      </c>
      <c r="K58" s="294"/>
      <c r="L58" s="294"/>
      <c r="M58" s="294"/>
      <c r="N58" s="294"/>
      <c r="O58" s="294"/>
      <c r="P58" s="294"/>
      <c r="AN58" s="197"/>
    </row>
    <row r="59" spans="1:79" s="17" customFormat="1" ht="12.75">
      <c r="A59" s="8" t="s">
        <v>253</v>
      </c>
      <c r="H59" s="292" t="s">
        <v>254</v>
      </c>
      <c r="AN59" s="197"/>
      <c r="BY59" s="151"/>
      <c r="BZ59" s="151"/>
      <c r="CA59" s="151"/>
    </row>
    <row r="60" spans="6:79" s="145" customFormat="1" ht="15">
      <c r="F60" s="14" t="s">
        <v>255</v>
      </c>
      <c r="AF60" s="514" t="str">
        <f>'INGRESO DE DATOS'!$F$45</f>
        <v>#</v>
      </c>
      <c r="AG60" s="514"/>
      <c r="AH60" s="514"/>
      <c r="AI60" s="514"/>
      <c r="AJ60" s="514"/>
      <c r="AK60" s="514"/>
      <c r="AL60" s="514"/>
      <c r="AM60" s="514"/>
      <c r="AN60" s="514"/>
      <c r="AO60" s="514"/>
      <c r="AP60" s="280" t="s">
        <v>256</v>
      </c>
      <c r="AQ60" s="280"/>
      <c r="AU60" s="280"/>
      <c r="AV60" s="280"/>
      <c r="AW60" s="280"/>
      <c r="BU60" s="75"/>
      <c r="BV60" s="75"/>
      <c r="BW60" s="75"/>
      <c r="BX60" s="75"/>
      <c r="BY60" s="149"/>
      <c r="BZ60" s="149"/>
      <c r="CA60" s="149"/>
    </row>
    <row r="61" spans="8:79" ht="13.5" customHeight="1" thickBot="1">
      <c r="H61" s="14" t="s">
        <v>11</v>
      </c>
      <c r="BU61" s="75"/>
      <c r="BV61" s="75"/>
      <c r="BW61" s="75"/>
      <c r="BX61" s="75"/>
      <c r="BY61" s="75"/>
      <c r="BZ61" s="75"/>
      <c r="CA61" s="75"/>
    </row>
    <row r="62" spans="39:79" ht="12" customHeight="1">
      <c r="AM62" s="550" t="s">
        <v>183</v>
      </c>
      <c r="AN62" s="551"/>
      <c r="AO62" s="551"/>
      <c r="AP62" s="551"/>
      <c r="AQ62" s="551"/>
      <c r="AR62" s="551"/>
      <c r="AS62" s="551"/>
      <c r="AT62" s="552"/>
      <c r="AU62" s="252"/>
      <c r="AV62" s="252"/>
      <c r="AW62" s="252"/>
      <c r="AX62" s="252"/>
      <c r="AY62" s="252"/>
      <c r="AZ62" s="252"/>
      <c r="BA62" s="252"/>
      <c r="BB62" s="252"/>
      <c r="BC62" s="252"/>
      <c r="BD62" s="252"/>
      <c r="BE62" s="252"/>
      <c r="BF62" s="252"/>
      <c r="BG62" s="252"/>
      <c r="BH62" s="252"/>
      <c r="BI62" s="253"/>
      <c r="BM62" s="43"/>
      <c r="BN62" s="43"/>
      <c r="BU62" s="75"/>
      <c r="BV62" s="75"/>
      <c r="BW62" s="75"/>
      <c r="BX62" s="75"/>
      <c r="BY62" s="75"/>
      <c r="BZ62" s="75"/>
      <c r="CA62" s="75"/>
    </row>
    <row r="63" spans="2:79" ht="13.5" customHeight="1" thickBot="1">
      <c r="B63" s="234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8"/>
      <c r="AM63" s="553"/>
      <c r="AN63" s="554"/>
      <c r="AO63" s="554"/>
      <c r="AP63" s="554"/>
      <c r="AQ63" s="554"/>
      <c r="AR63" s="554"/>
      <c r="AS63" s="554"/>
      <c r="AT63" s="555"/>
      <c r="AU63" s="257"/>
      <c r="AV63" s="257"/>
      <c r="AW63" s="257"/>
      <c r="AX63" s="257"/>
      <c r="AY63" s="257"/>
      <c r="AZ63" s="257"/>
      <c r="BA63" s="257"/>
      <c r="BB63" s="257"/>
      <c r="BC63" s="257"/>
      <c r="BD63" s="257"/>
      <c r="BE63" s="257"/>
      <c r="BF63" s="257"/>
      <c r="BG63" s="257"/>
      <c r="BH63" s="257"/>
      <c r="BI63" s="258"/>
      <c r="BM63" s="43"/>
      <c r="BN63" s="43"/>
      <c r="BU63" s="75"/>
      <c r="BV63" s="75"/>
      <c r="BW63" s="75"/>
      <c r="BX63" s="75"/>
      <c r="BY63" s="75"/>
      <c r="BZ63" s="75"/>
      <c r="CA63" s="75"/>
    </row>
    <row r="64" spans="3:79" ht="7.5" customHeight="1" thickBot="1">
      <c r="C64" s="24" t="s">
        <v>180</v>
      </c>
      <c r="BU64" s="75"/>
      <c r="BV64" s="134"/>
      <c r="BW64" s="134"/>
      <c r="BX64" s="75"/>
      <c r="BY64" s="75"/>
      <c r="BZ64" s="75"/>
      <c r="CA64" s="75"/>
    </row>
    <row r="65" spans="3:79" ht="12.75" customHeight="1">
      <c r="C65" s="25" t="s">
        <v>21</v>
      </c>
      <c r="AM65" s="251"/>
      <c r="AN65" s="279"/>
      <c r="AO65" s="252"/>
      <c r="AP65" s="252"/>
      <c r="AQ65" s="252"/>
      <c r="AR65" s="252"/>
      <c r="AS65" s="279"/>
      <c r="AT65" s="252"/>
      <c r="AU65" s="252"/>
      <c r="AV65" s="252"/>
      <c r="AW65" s="252"/>
      <c r="AX65" s="252"/>
      <c r="AY65" s="252"/>
      <c r="AZ65" s="252"/>
      <c r="BA65" s="252"/>
      <c r="BB65" s="252"/>
      <c r="BC65" s="252"/>
      <c r="BD65" s="252"/>
      <c r="BE65" s="252"/>
      <c r="BF65" s="252"/>
      <c r="BG65" s="252"/>
      <c r="BH65" s="252"/>
      <c r="BI65" s="253"/>
      <c r="BU65" s="75"/>
      <c r="BV65" s="134"/>
      <c r="BW65" s="134"/>
      <c r="BX65" s="75"/>
      <c r="BY65" s="75"/>
      <c r="BZ65" s="75"/>
      <c r="CA65" s="75"/>
    </row>
    <row r="66" spans="3:79" ht="11.25" customHeight="1">
      <c r="C66" s="518" t="str">
        <f>'INGRESO DE DATOS'!$F$7</f>
        <v>#</v>
      </c>
      <c r="D66" s="518"/>
      <c r="E66" s="518"/>
      <c r="F66" s="518"/>
      <c r="G66" s="518"/>
      <c r="H66" s="518"/>
      <c r="I66" s="518"/>
      <c r="J66" s="518"/>
      <c r="K66" s="518"/>
      <c r="L66" s="518"/>
      <c r="M66" s="518"/>
      <c r="N66" s="518"/>
      <c r="AM66" s="254"/>
      <c r="AN66" s="110"/>
      <c r="AO66" s="75"/>
      <c r="AP66" s="75"/>
      <c r="AQ66" s="75"/>
      <c r="AR66" s="75"/>
      <c r="AS66" s="110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255"/>
      <c r="BN66" s="75"/>
      <c r="BO66" s="75"/>
      <c r="BU66" s="75"/>
      <c r="BV66" s="134"/>
      <c r="BW66" s="134"/>
      <c r="BX66" s="75"/>
      <c r="BY66" s="75"/>
      <c r="BZ66" s="75"/>
      <c r="CA66" s="75"/>
    </row>
    <row r="67" spans="3:79" ht="12" customHeight="1">
      <c r="C67" s="24" t="s">
        <v>258</v>
      </c>
      <c r="H67" s="518" t="str">
        <f>'INGRESO DE DATOS'!$F$8</f>
        <v>#</v>
      </c>
      <c r="I67" s="518"/>
      <c r="J67" s="518"/>
      <c r="K67" s="518"/>
      <c r="L67" s="518"/>
      <c r="M67" s="518"/>
      <c r="N67" s="518"/>
      <c r="O67" s="518"/>
      <c r="P67" s="518"/>
      <c r="Q67" s="518"/>
      <c r="AM67" s="254"/>
      <c r="AN67" s="110"/>
      <c r="AO67" s="75"/>
      <c r="AP67" s="75"/>
      <c r="AQ67" s="75"/>
      <c r="AR67" s="75"/>
      <c r="AS67" s="110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255"/>
      <c r="BN67" s="146"/>
      <c r="BO67" s="146"/>
      <c r="BP67" s="134"/>
      <c r="BQ67" s="134"/>
      <c r="BU67" s="75"/>
      <c r="BV67" s="75"/>
      <c r="BW67" s="75"/>
      <c r="BX67" s="75"/>
      <c r="BY67" s="75"/>
      <c r="BZ67" s="75"/>
      <c r="CA67" s="75"/>
    </row>
    <row r="68" spans="3:79" ht="12.75" customHeight="1">
      <c r="C68" s="24" t="s">
        <v>338</v>
      </c>
      <c r="H68" s="24" t="str">
        <f>'INGRESO DE DATOS'!$F$9</f>
        <v>#</v>
      </c>
      <c r="AM68" s="254"/>
      <c r="AN68" s="110"/>
      <c r="AO68" s="75"/>
      <c r="AP68" s="75"/>
      <c r="AQ68" s="75"/>
      <c r="AR68" s="75"/>
      <c r="AS68" s="110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255"/>
      <c r="BU68" s="75"/>
      <c r="BV68" s="75"/>
      <c r="BW68" s="75"/>
      <c r="BX68" s="75"/>
      <c r="BY68" s="75"/>
      <c r="BZ68" s="75"/>
      <c r="CA68" s="75"/>
    </row>
    <row r="69" spans="39:79" ht="7.5" customHeight="1">
      <c r="AM69" s="254"/>
      <c r="AN69" s="110"/>
      <c r="AO69" s="151"/>
      <c r="AP69" s="275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75"/>
      <c r="BI69" s="255"/>
      <c r="BU69" s="75"/>
      <c r="BV69" s="75"/>
      <c r="BW69" s="75"/>
      <c r="BX69" s="75"/>
      <c r="BY69" s="75"/>
      <c r="BZ69" s="75"/>
      <c r="CA69" s="75"/>
    </row>
    <row r="70" spans="39:79" ht="7.5" customHeight="1">
      <c r="AM70" s="254"/>
      <c r="AN70" s="110"/>
      <c r="AO70" s="151"/>
      <c r="AP70" s="275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75"/>
      <c r="BI70" s="255"/>
      <c r="BU70" s="75"/>
      <c r="BV70" s="75"/>
      <c r="BW70" s="75"/>
      <c r="BX70" s="75"/>
      <c r="BY70" s="75"/>
      <c r="BZ70" s="75"/>
      <c r="CA70" s="75"/>
    </row>
    <row r="71" spans="3:79" ht="12.75">
      <c r="C71" s="24" t="s">
        <v>181</v>
      </c>
      <c r="AM71" s="254"/>
      <c r="AN71" s="110"/>
      <c r="AO71" s="151"/>
      <c r="AP71" s="275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75"/>
      <c r="BI71" s="255"/>
      <c r="BQ71" s="121"/>
      <c r="BR71" s="121"/>
      <c r="BU71" s="75"/>
      <c r="BV71" s="75"/>
      <c r="BW71" s="75"/>
      <c r="BX71" s="75"/>
      <c r="BY71" s="75"/>
      <c r="BZ71" s="75"/>
      <c r="CA71" s="75"/>
    </row>
    <row r="72" spans="4:79" ht="15">
      <c r="D72" s="121" t="s">
        <v>22</v>
      </c>
      <c r="AM72" s="254"/>
      <c r="AN72" s="110"/>
      <c r="AO72" s="149"/>
      <c r="AP72" s="276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75"/>
      <c r="BI72" s="255"/>
      <c r="BQ72" s="150"/>
      <c r="BR72" s="150"/>
      <c r="BU72" s="75"/>
      <c r="BV72" s="75"/>
      <c r="BW72" s="75"/>
      <c r="BX72" s="75"/>
      <c r="BY72" s="75"/>
      <c r="BZ72" s="75"/>
      <c r="CA72" s="75"/>
    </row>
    <row r="73" spans="5:61" ht="11.25">
      <c r="E73" s="30" t="s">
        <v>23</v>
      </c>
      <c r="H73" s="517" t="str">
        <f>'INGRESO DE DATOS'!$F$15</f>
        <v>#</v>
      </c>
      <c r="I73" s="517"/>
      <c r="J73" s="517"/>
      <c r="K73" s="517"/>
      <c r="L73" s="517"/>
      <c r="M73" s="517"/>
      <c r="N73" s="517"/>
      <c r="O73" s="517"/>
      <c r="P73" s="517"/>
      <c r="Q73" s="517"/>
      <c r="R73" s="517"/>
      <c r="S73" s="517"/>
      <c r="T73" s="517"/>
      <c r="AM73" s="254"/>
      <c r="AN73" s="110"/>
      <c r="AO73" s="75"/>
      <c r="AP73" s="110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255"/>
    </row>
    <row r="74" spans="5:78" ht="11.25">
      <c r="E74" s="30" t="s">
        <v>24</v>
      </c>
      <c r="H74" s="517" t="str">
        <f>'INGRESO DE DATOS'!$F$19</f>
        <v>#</v>
      </c>
      <c r="I74" s="517"/>
      <c r="J74" s="517"/>
      <c r="K74" s="517"/>
      <c r="L74" s="517"/>
      <c r="M74" s="517"/>
      <c r="N74" s="517"/>
      <c r="O74" s="517"/>
      <c r="P74" s="517"/>
      <c r="Q74" s="517"/>
      <c r="R74" s="517"/>
      <c r="S74" s="517"/>
      <c r="T74" s="517"/>
      <c r="AM74" s="254"/>
      <c r="AN74" s="110"/>
      <c r="AO74" s="75"/>
      <c r="AP74" s="110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255"/>
      <c r="BX74" s="75"/>
      <c r="BY74" s="75"/>
      <c r="BZ74" s="75"/>
    </row>
    <row r="75" spans="5:78" ht="11.25">
      <c r="E75" s="30" t="s">
        <v>25</v>
      </c>
      <c r="H75" s="517" t="str">
        <f>'INGRESO DE DATOS'!$F$18</f>
        <v>#</v>
      </c>
      <c r="I75" s="517"/>
      <c r="J75" s="517"/>
      <c r="K75" s="517"/>
      <c r="L75" s="517"/>
      <c r="M75" s="517"/>
      <c r="N75" s="517"/>
      <c r="O75" s="517"/>
      <c r="P75" s="517"/>
      <c r="Q75" s="517"/>
      <c r="R75" s="517"/>
      <c r="S75" s="517"/>
      <c r="T75" s="517"/>
      <c r="AM75" s="254"/>
      <c r="AN75" s="110"/>
      <c r="AO75" s="75"/>
      <c r="AP75" s="110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255"/>
      <c r="BX75" s="75"/>
      <c r="BY75" s="75"/>
      <c r="BZ75" s="75"/>
    </row>
    <row r="76" spans="4:78" ht="11.25">
      <c r="D76" s="24" t="s">
        <v>259</v>
      </c>
      <c r="H76" s="544" t="str">
        <f>'INGRESO DE DATOS'!$F$16</f>
        <v>#</v>
      </c>
      <c r="I76" s="544"/>
      <c r="J76" s="544"/>
      <c r="K76" s="544"/>
      <c r="L76" s="544"/>
      <c r="M76" s="544"/>
      <c r="N76" s="544"/>
      <c r="O76" s="544"/>
      <c r="AM76" s="254"/>
      <c r="AN76" s="110"/>
      <c r="AO76" s="75"/>
      <c r="AP76" s="110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255"/>
      <c r="BU76" s="75"/>
      <c r="BV76" s="75"/>
      <c r="BW76" s="75"/>
      <c r="BX76" s="75"/>
      <c r="BY76" s="75"/>
      <c r="BZ76" s="75"/>
    </row>
    <row r="77" spans="39:78" ht="4.5" customHeight="1" thickBot="1">
      <c r="AM77" s="256"/>
      <c r="AN77" s="277"/>
      <c r="AO77" s="257"/>
      <c r="AP77" s="277"/>
      <c r="AQ77" s="257"/>
      <c r="AR77" s="257"/>
      <c r="AS77" s="257"/>
      <c r="AT77" s="257"/>
      <c r="AU77" s="257"/>
      <c r="AV77" s="257"/>
      <c r="AW77" s="257"/>
      <c r="AX77" s="257"/>
      <c r="AY77" s="257"/>
      <c r="AZ77" s="257"/>
      <c r="BA77" s="257"/>
      <c r="BB77" s="257"/>
      <c r="BC77" s="257"/>
      <c r="BD77" s="257"/>
      <c r="BE77" s="257"/>
      <c r="BF77" s="257"/>
      <c r="BG77" s="257"/>
      <c r="BH77" s="257"/>
      <c r="BI77" s="258"/>
      <c r="BP77" s="150"/>
      <c r="BQ77" s="150"/>
      <c r="BU77" s="75"/>
      <c r="BV77" s="75"/>
      <c r="BW77" s="75"/>
      <c r="BX77" s="75"/>
      <c r="BY77" s="75"/>
      <c r="BZ77" s="75"/>
    </row>
    <row r="78" spans="1:78" ht="14.25" customHeight="1">
      <c r="A78" s="24" t="s">
        <v>20</v>
      </c>
      <c r="AM78" s="75"/>
      <c r="AN78" s="110"/>
      <c r="AO78" s="75"/>
      <c r="AP78" s="110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P78" s="150"/>
      <c r="BQ78" s="150"/>
      <c r="BU78" s="75"/>
      <c r="BV78" s="75"/>
      <c r="BW78" s="75"/>
      <c r="BX78" s="75"/>
      <c r="BZ78" s="75"/>
    </row>
    <row r="79" spans="39:78" ht="11.25">
      <c r="AM79" s="75"/>
      <c r="AN79" s="110"/>
      <c r="AO79" s="75"/>
      <c r="AP79" s="110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P79" s="150"/>
      <c r="BQ79" s="150"/>
      <c r="BU79" s="75"/>
      <c r="BV79" s="75"/>
      <c r="BW79" s="75"/>
      <c r="BX79" s="75"/>
      <c r="BY79" s="75"/>
      <c r="BZ79" s="75"/>
    </row>
    <row r="80" spans="2:14" ht="11.25">
      <c r="B80" s="75"/>
      <c r="C80" s="75"/>
      <c r="D80" s="75"/>
      <c r="I80" s="75"/>
      <c r="J80" s="75"/>
      <c r="K80" s="75"/>
      <c r="L80" s="75"/>
      <c r="M80" s="75"/>
      <c r="N80" s="75"/>
    </row>
    <row r="81" spans="2:14" ht="11.25">
      <c r="B81" s="75"/>
      <c r="C81" s="75"/>
      <c r="D81" s="75"/>
      <c r="I81" s="75"/>
      <c r="J81" s="75"/>
      <c r="K81" s="75"/>
      <c r="L81" s="75"/>
      <c r="M81" s="75"/>
      <c r="N81" s="75"/>
    </row>
    <row r="82" spans="1:48" ht="11.25">
      <c r="A82" s="322" t="s">
        <v>303</v>
      </c>
      <c r="B82" s="75"/>
      <c r="C82" s="75"/>
      <c r="D82" s="75"/>
      <c r="I82" s="75"/>
      <c r="J82" s="75"/>
      <c r="K82" s="75"/>
      <c r="L82" s="75"/>
      <c r="M82" s="75"/>
      <c r="N82" s="75"/>
      <c r="AC82" s="518" t="str">
        <f>'INGRESO DE DATOS'!$F$7</f>
        <v>#</v>
      </c>
      <c r="AD82" s="518"/>
      <c r="AE82" s="518"/>
      <c r="AF82" s="518"/>
      <c r="AG82" s="518"/>
      <c r="AH82" s="518"/>
      <c r="AI82" s="518"/>
      <c r="AJ82" s="518"/>
      <c r="AK82" s="518"/>
      <c r="AL82" s="518"/>
      <c r="AM82" s="518"/>
      <c r="AN82" s="518"/>
      <c r="AO82" s="518"/>
      <c r="AP82" s="518"/>
      <c r="AQ82" s="518"/>
      <c r="AR82" s="518"/>
      <c r="AS82" s="518"/>
      <c r="AT82" s="518" t="s">
        <v>280</v>
      </c>
      <c r="AU82" s="518"/>
      <c r="AV82" s="24" t="str">
        <f>'INGRESO DE DATOS'!$F$15</f>
        <v>#</v>
      </c>
    </row>
    <row r="83" spans="2:14" ht="11.25">
      <c r="B83" s="75"/>
      <c r="C83" s="75"/>
      <c r="D83" s="75"/>
      <c r="I83" s="75"/>
      <c r="J83" s="75"/>
      <c r="K83" s="75"/>
      <c r="L83" s="75"/>
      <c r="M83" s="75"/>
      <c r="N83" s="75"/>
    </row>
    <row r="84" spans="1:64" ht="11.25">
      <c r="A84" s="319" t="s">
        <v>281</v>
      </c>
      <c r="B84" s="75"/>
      <c r="C84" s="75"/>
      <c r="D84" s="75"/>
      <c r="I84" s="75"/>
      <c r="J84" s="75"/>
      <c r="K84" s="75"/>
      <c r="L84" s="548" t="str">
        <f>'INGRESO DE DATOS'!$F$25</f>
        <v>#</v>
      </c>
      <c r="M84" s="548"/>
      <c r="N84" s="548"/>
      <c r="O84" s="548"/>
      <c r="P84" s="548"/>
      <c r="Q84" s="548"/>
      <c r="R84" s="548"/>
      <c r="S84" s="548"/>
      <c r="T84" s="548"/>
      <c r="U84" s="548"/>
      <c r="V84" s="548"/>
      <c r="W84" s="548"/>
      <c r="X84" s="548"/>
      <c r="Y84" s="548"/>
      <c r="Z84" s="548"/>
      <c r="AA84" s="534" t="str">
        <f>'INGRESO DE DATOS'!$F$26</f>
        <v>#</v>
      </c>
      <c r="AB84" s="534"/>
      <c r="AC84" s="534"/>
      <c r="AD84" s="534"/>
      <c r="AE84" s="534"/>
      <c r="AF84" s="534"/>
      <c r="AG84" s="517" t="str">
        <f>'INGRESO DE DATOS'!$F$27</f>
        <v>#</v>
      </c>
      <c r="AH84" s="517"/>
      <c r="AI84" s="517"/>
      <c r="AJ84" s="517"/>
      <c r="AK84" s="517"/>
      <c r="AL84" s="517"/>
      <c r="AM84" s="517"/>
      <c r="AN84" s="517"/>
      <c r="AO84" s="517"/>
      <c r="AP84" s="517"/>
      <c r="AQ84" s="517"/>
      <c r="AR84" s="517"/>
      <c r="AS84" s="517"/>
      <c r="AT84" s="517" t="str">
        <f>'INGRESO DE DATOS'!$F$29</f>
        <v>#</v>
      </c>
      <c r="AU84" s="517"/>
      <c r="AV84" s="517"/>
      <c r="AW84" s="517"/>
      <c r="AX84" s="517"/>
      <c r="AY84" s="517"/>
      <c r="AZ84" s="517"/>
      <c r="BA84" s="517"/>
      <c r="BB84" s="517"/>
      <c r="BC84" s="517"/>
      <c r="BD84" s="517"/>
      <c r="BE84" s="517"/>
      <c r="BF84" s="517"/>
      <c r="BG84" s="517"/>
      <c r="BH84" s="517"/>
      <c r="BI84" s="517"/>
      <c r="BJ84" s="517"/>
      <c r="BK84" s="30"/>
      <c r="BL84" s="30"/>
    </row>
    <row r="85" spans="2:14" ht="11.25">
      <c r="B85" s="75"/>
      <c r="C85" s="75"/>
      <c r="D85" s="75"/>
      <c r="I85" s="75"/>
      <c r="J85" s="75"/>
      <c r="K85" s="75"/>
      <c r="L85" s="75"/>
      <c r="M85" s="75"/>
      <c r="N85" s="75"/>
    </row>
    <row r="86" spans="1:41" ht="12.75">
      <c r="A86" s="24" t="s">
        <v>283</v>
      </c>
      <c r="B86" s="75"/>
      <c r="C86" s="75"/>
      <c r="D86" s="75"/>
      <c r="N86" s="530" t="str">
        <f>'INGRESO DE DATOS'!$F$4</f>
        <v>#</v>
      </c>
      <c r="O86" s="530"/>
      <c r="P86" s="530"/>
      <c r="Q86" s="24" t="s">
        <v>282</v>
      </c>
      <c r="S86" s="530" t="str">
        <f>'INGRESO DE DATOS'!$F$5</f>
        <v>#</v>
      </c>
      <c r="T86" s="530"/>
      <c r="U86" s="530"/>
      <c r="V86" s="530"/>
      <c r="W86" s="530"/>
      <c r="X86" s="530"/>
      <c r="Y86" s="530"/>
      <c r="Z86" s="24" t="s">
        <v>282</v>
      </c>
      <c r="AB86" s="530" t="str">
        <f>'INGRESO DE DATOS'!$F$6</f>
        <v>#</v>
      </c>
      <c r="AC86" s="530"/>
      <c r="AD86" s="530"/>
      <c r="AE86" s="530"/>
      <c r="AJ86" s="319" t="s">
        <v>286</v>
      </c>
      <c r="AO86" s="323"/>
    </row>
    <row r="87" spans="2:14" ht="11.25">
      <c r="B87" s="75"/>
      <c r="C87" s="75"/>
      <c r="D87" s="75"/>
      <c r="I87" s="75"/>
      <c r="J87" s="75"/>
      <c r="K87" s="75"/>
      <c r="L87" s="75"/>
      <c r="M87" s="75"/>
      <c r="N87" s="75"/>
    </row>
    <row r="88" spans="1:42" ht="14.25">
      <c r="A88" s="298" t="s">
        <v>304</v>
      </c>
      <c r="B88" s="298"/>
      <c r="C88" s="298"/>
      <c r="D88" s="298"/>
      <c r="E88" s="298"/>
      <c r="F88" s="298"/>
      <c r="G88" s="298"/>
      <c r="H88" s="298"/>
      <c r="I88" s="298"/>
      <c r="J88" s="298"/>
      <c r="K88" s="298"/>
      <c r="L88" s="298"/>
      <c r="M88" s="75"/>
      <c r="N88" s="75"/>
      <c r="AK88" s="519">
        <f>'INGRESO DE DATOS'!$D$69</f>
        <v>0</v>
      </c>
      <c r="AL88" s="519"/>
      <c r="AM88" s="519"/>
      <c r="AN88" s="519"/>
      <c r="AO88" s="519"/>
      <c r="AP88" s="519"/>
    </row>
    <row r="90" spans="1:38" ht="15">
      <c r="A90" s="319" t="s">
        <v>287</v>
      </c>
      <c r="C90" s="508">
        <f>'INGRESO DE DATOS'!$U$69</f>
        <v>0</v>
      </c>
      <c r="D90" s="514"/>
      <c r="E90" s="514"/>
      <c r="F90" s="24" t="s">
        <v>299</v>
      </c>
      <c r="K90" s="535">
        <f>'INGRESO DE DATOS'!$D$71</f>
        <v>1360</v>
      </c>
      <c r="L90" s="535"/>
      <c r="M90" s="535"/>
      <c r="N90" s="145" t="s">
        <v>343</v>
      </c>
      <c r="O90" s="150" t="s">
        <v>344</v>
      </c>
      <c r="P90" s="150"/>
      <c r="Q90" s="547">
        <f>'INGRESO DE DATOS'!$U$70</f>
        <v>0</v>
      </c>
      <c r="R90" s="518"/>
      <c r="S90" s="518"/>
      <c r="T90" s="518"/>
      <c r="U90" s="518"/>
      <c r="V90" s="518"/>
      <c r="W90" s="546" t="s">
        <v>300</v>
      </c>
      <c r="X90" s="546"/>
      <c r="Y90" s="545">
        <f>K90*C90</f>
        <v>0</v>
      </c>
      <c r="Z90" s="545"/>
      <c r="AA90" s="545"/>
      <c r="AB90" s="545"/>
      <c r="AC90" s="545"/>
      <c r="AD90" s="545"/>
      <c r="AE90" s="545"/>
      <c r="AF90" s="545"/>
      <c r="AG90" s="545"/>
      <c r="AH90" s="392"/>
      <c r="AI90" s="392"/>
      <c r="AJ90" s="392"/>
      <c r="AK90" s="392"/>
      <c r="AL90" s="392"/>
    </row>
    <row r="91" spans="1:67" ht="11.25">
      <c r="A91" s="319"/>
      <c r="BM91" s="150"/>
      <c r="BN91" s="150"/>
      <c r="BO91" s="150"/>
    </row>
    <row r="92" spans="1:26" ht="23.25">
      <c r="A92" s="319"/>
      <c r="S92" s="531">
        <f>'INGRESO DE DATOS'!$H$81</f>
        <v>3</v>
      </c>
      <c r="T92" s="531"/>
      <c r="U92" s="387" t="s">
        <v>339</v>
      </c>
      <c r="V92" s="17"/>
      <c r="W92" s="17"/>
      <c r="X92" s="17"/>
      <c r="Y92" s="17"/>
      <c r="Z92" s="17"/>
    </row>
    <row r="93" ht="11.25">
      <c r="A93" s="319"/>
    </row>
    <row r="94" spans="37:61" ht="10.5" customHeight="1">
      <c r="AK94" s="227" t="s">
        <v>125</v>
      </c>
      <c r="AL94" s="228"/>
      <c r="AM94" s="228"/>
      <c r="AN94" s="228"/>
      <c r="AO94" s="228"/>
      <c r="AP94" s="228"/>
      <c r="AQ94" s="228"/>
      <c r="AR94" s="20"/>
      <c r="AS94" s="285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147"/>
    </row>
    <row r="95" spans="1:61" s="17" customFormat="1" ht="12.75" customHeight="1">
      <c r="A95" s="152" t="s">
        <v>7</v>
      </c>
      <c r="I95" s="151"/>
      <c r="J95" s="151"/>
      <c r="K95" s="151"/>
      <c r="L95" s="151"/>
      <c r="M95" s="151"/>
      <c r="N95" s="151"/>
      <c r="AK95" s="229"/>
      <c r="AL95" s="230"/>
      <c r="AM95" s="230"/>
      <c r="AN95" s="230"/>
      <c r="AO95" s="230"/>
      <c r="AP95" s="230"/>
      <c r="AQ95" s="230"/>
      <c r="AR95" s="151"/>
      <c r="AS95" s="275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  <c r="BI95" s="158"/>
    </row>
    <row r="96" spans="1:61" s="17" customFormat="1" ht="12.75" customHeight="1">
      <c r="A96" s="152" t="s">
        <v>262</v>
      </c>
      <c r="D96" s="8"/>
      <c r="I96" s="151"/>
      <c r="J96" s="151"/>
      <c r="K96" s="151"/>
      <c r="N96" s="151"/>
      <c r="AK96" s="231"/>
      <c r="AL96" s="230"/>
      <c r="AM96" s="230"/>
      <c r="AN96" s="230"/>
      <c r="AO96" s="230"/>
      <c r="AP96" s="230"/>
      <c r="AQ96" s="230"/>
      <c r="AR96" s="151"/>
      <c r="AS96" s="275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  <c r="BI96" s="158"/>
    </row>
    <row r="97" spans="1:61" s="17" customFormat="1" ht="12.75">
      <c r="A97" s="21" t="s">
        <v>8</v>
      </c>
      <c r="L97" s="539">
        <f>'PLANILLA DE CALCULOS '!$O$6</f>
        <v>0</v>
      </c>
      <c r="M97" s="539"/>
      <c r="N97" s="539"/>
      <c r="O97" s="539"/>
      <c r="P97" s="539"/>
      <c r="Q97" s="539"/>
      <c r="R97" s="539"/>
      <c r="S97" s="539"/>
      <c r="AK97" s="231"/>
      <c r="AL97" s="230"/>
      <c r="AM97" s="230"/>
      <c r="AN97" s="230"/>
      <c r="AO97" s="230"/>
      <c r="AP97" s="230"/>
      <c r="AQ97" s="230"/>
      <c r="AR97" s="151"/>
      <c r="AS97" s="275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  <c r="BI97" s="158"/>
    </row>
    <row r="98" spans="1:61" s="17" customFormat="1" ht="12.75">
      <c r="A98" s="21" t="s">
        <v>9</v>
      </c>
      <c r="B98" s="155"/>
      <c r="C98" s="57"/>
      <c r="L98" s="507">
        <f>'PLANILLA DE CALCULOS '!$O$10</f>
        <v>0</v>
      </c>
      <c r="M98" s="507"/>
      <c r="N98" s="507"/>
      <c r="O98" s="507"/>
      <c r="P98" s="507"/>
      <c r="Q98" s="507"/>
      <c r="R98" s="507"/>
      <c r="S98" s="507"/>
      <c r="T98" s="283"/>
      <c r="Y98" s="507">
        <f>'PLANILLA DE CALCULOS '!$O$7</f>
        <v>0</v>
      </c>
      <c r="Z98" s="507"/>
      <c r="AA98" s="507"/>
      <c r="AB98" s="507"/>
      <c r="AC98" s="507"/>
      <c r="AD98" s="507"/>
      <c r="AE98" s="283"/>
      <c r="AF98" s="283"/>
      <c r="AK98" s="231"/>
      <c r="AL98" s="230"/>
      <c r="AM98" s="230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  <c r="BI98" s="158"/>
    </row>
    <row r="99" spans="1:61" s="17" customFormat="1" ht="12.75">
      <c r="A99" s="509">
        <f>'PLANILLA DE CALCULOS '!$O$14</f>
        <v>0</v>
      </c>
      <c r="B99" s="509"/>
      <c r="C99" s="509"/>
      <c r="D99" s="17" t="s">
        <v>187</v>
      </c>
      <c r="L99" s="507">
        <f>'PLANILLA DE CALCULOS '!$O$11</f>
        <v>0</v>
      </c>
      <c r="M99" s="507"/>
      <c r="N99" s="507"/>
      <c r="O99" s="507"/>
      <c r="P99" s="507"/>
      <c r="Q99" s="507"/>
      <c r="R99" s="507"/>
      <c r="S99" s="507"/>
      <c r="Y99" s="507">
        <f>'PLANILLA DE CALCULOS '!$O$8</f>
        <v>0</v>
      </c>
      <c r="Z99" s="507"/>
      <c r="AA99" s="507"/>
      <c r="AB99" s="507"/>
      <c r="AC99" s="507"/>
      <c r="AD99" s="507"/>
      <c r="AE99" s="283"/>
      <c r="AF99" s="283"/>
      <c r="AK99" s="231"/>
      <c r="AL99" s="230"/>
      <c r="AM99" s="230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  <c r="BI99" s="158"/>
    </row>
    <row r="100" spans="1:61" s="17" customFormat="1" ht="12.75">
      <c r="A100" s="17" t="s">
        <v>10</v>
      </c>
      <c r="E100" s="153">
        <f>'PLANILLA DE CALCULOS '!$O$9</f>
        <v>0</v>
      </c>
      <c r="AK100" s="231"/>
      <c r="AL100" s="230"/>
      <c r="AM100" s="230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  <c r="BI100" s="158"/>
    </row>
    <row r="101" spans="5:61" s="17" customFormat="1" ht="12.75">
      <c r="E101" s="153"/>
      <c r="AK101" s="231"/>
      <c r="AL101" s="230"/>
      <c r="AM101" s="230"/>
      <c r="AN101" s="230"/>
      <c r="AO101" s="230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  <c r="BI101" s="158"/>
    </row>
    <row r="102" spans="1:61" s="17" customFormat="1" ht="12.75">
      <c r="A102" s="8" t="s">
        <v>285</v>
      </c>
      <c r="F102" s="151"/>
      <c r="P102" s="151"/>
      <c r="Q102" s="151"/>
      <c r="R102" s="151"/>
      <c r="S102" s="151"/>
      <c r="T102" s="151"/>
      <c r="U102" s="151"/>
      <c r="AK102" s="231"/>
      <c r="AL102" s="230"/>
      <c r="AM102" s="230"/>
      <c r="AN102" s="230"/>
      <c r="AO102" s="230"/>
      <c r="AP102" s="230"/>
      <c r="AQ102" s="230"/>
      <c r="AR102" s="151"/>
      <c r="AS102" s="275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  <c r="BI102" s="158"/>
    </row>
    <row r="103" spans="1:61" s="17" customFormat="1" ht="12.75">
      <c r="A103" s="8" t="s">
        <v>288</v>
      </c>
      <c r="F103" s="510">
        <v>50</v>
      </c>
      <c r="G103" s="510"/>
      <c r="H103" s="510"/>
      <c r="I103" s="17" t="s">
        <v>14</v>
      </c>
      <c r="J103" s="281"/>
      <c r="P103" s="151"/>
      <c r="Q103" s="151"/>
      <c r="R103" s="151"/>
      <c r="S103" s="151"/>
      <c r="T103" s="151"/>
      <c r="U103" s="151"/>
      <c r="Y103" s="507">
        <f>'PLANILLA DE CALCULOS '!$H$13</f>
        <v>0</v>
      </c>
      <c r="Z103" s="507"/>
      <c r="AA103" s="507"/>
      <c r="AB103" s="507"/>
      <c r="AC103" s="507"/>
      <c r="AD103" s="507"/>
      <c r="AK103" s="231"/>
      <c r="AL103" s="230"/>
      <c r="AM103" s="230"/>
      <c r="AN103" s="230"/>
      <c r="AO103" s="230"/>
      <c r="AP103" s="230"/>
      <c r="AQ103" s="230"/>
      <c r="AR103" s="151"/>
      <c r="AS103" s="275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  <c r="BI103" s="158"/>
    </row>
    <row r="104" spans="1:61" s="17" customFormat="1" ht="15.75">
      <c r="A104" s="17" t="s">
        <v>15</v>
      </c>
      <c r="F104" s="151"/>
      <c r="H104" s="151"/>
      <c r="J104" s="151" t="s">
        <v>12</v>
      </c>
      <c r="K104" s="151"/>
      <c r="L104" s="151"/>
      <c r="M104" s="164"/>
      <c r="N104" s="164"/>
      <c r="O104" s="164"/>
      <c r="P104" s="151"/>
      <c r="Q104" s="164"/>
      <c r="R104" s="151"/>
      <c r="S104" s="151"/>
      <c r="T104" s="151"/>
      <c r="U104" s="151"/>
      <c r="Y104" s="505">
        <f>SUM(Y103)</f>
        <v>0</v>
      </c>
      <c r="Z104" s="505"/>
      <c r="AA104" s="505"/>
      <c r="AB104" s="505"/>
      <c r="AC104" s="505"/>
      <c r="AD104" s="505"/>
      <c r="AE104" s="505"/>
      <c r="AK104" s="231"/>
      <c r="AL104" s="230"/>
      <c r="AM104" s="230"/>
      <c r="AN104" s="230"/>
      <c r="AO104" s="230"/>
      <c r="AP104" s="230"/>
      <c r="AQ104" s="230"/>
      <c r="AR104" s="151"/>
      <c r="AS104" s="275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  <c r="BI104" s="158"/>
    </row>
    <row r="105" spans="5:61" s="17" customFormat="1" ht="12.75">
      <c r="E105" s="156"/>
      <c r="F105" s="151"/>
      <c r="H105" s="160"/>
      <c r="J105" s="151"/>
      <c r="K105" s="151"/>
      <c r="L105" s="151"/>
      <c r="P105" s="151"/>
      <c r="Q105" s="165"/>
      <c r="R105" s="151"/>
      <c r="S105" s="151"/>
      <c r="T105" s="151"/>
      <c r="U105" s="151"/>
      <c r="AK105" s="232"/>
      <c r="AL105" s="233"/>
      <c r="AM105" s="233"/>
      <c r="AN105" s="233"/>
      <c r="AO105" s="233"/>
      <c r="AP105" s="233"/>
      <c r="AQ105" s="233"/>
      <c r="AR105" s="23"/>
      <c r="AS105" s="286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148"/>
    </row>
    <row r="106" spans="1:58" s="17" customFormat="1" ht="15.75">
      <c r="A106" s="8" t="s">
        <v>289</v>
      </c>
      <c r="G106" s="510">
        <v>30</v>
      </c>
      <c r="H106" s="510"/>
      <c r="I106" s="510"/>
      <c r="J106" s="17" t="s">
        <v>17</v>
      </c>
      <c r="K106" s="151"/>
      <c r="L106" s="151"/>
      <c r="P106" s="151"/>
      <c r="Q106" s="163"/>
      <c r="R106" s="151"/>
      <c r="S106" s="151"/>
      <c r="T106" s="151"/>
      <c r="U106" s="151"/>
      <c r="Y106" s="507">
        <f>'PLANILLA DE CALCULOS '!$H$15</f>
        <v>0</v>
      </c>
      <c r="Z106" s="507"/>
      <c r="AA106" s="507"/>
      <c r="AB106" s="507"/>
      <c r="AC106" s="507"/>
      <c r="AD106" s="507"/>
      <c r="AQ106" s="281"/>
      <c r="AR106" s="281"/>
      <c r="AS106" s="197"/>
      <c r="BA106" s="316"/>
      <c r="BB106" s="316"/>
      <c r="BC106" s="316"/>
      <c r="BD106" s="316"/>
      <c r="BE106" s="316"/>
      <c r="BF106" s="316"/>
    </row>
    <row r="107" spans="1:30" s="17" customFormat="1" ht="12.75">
      <c r="A107" s="324" t="s">
        <v>290</v>
      </c>
      <c r="F107" s="151"/>
      <c r="G107" s="160"/>
      <c r="H107" s="151"/>
      <c r="I107" s="151"/>
      <c r="J107" s="151"/>
      <c r="K107" s="151"/>
      <c r="L107" s="151"/>
      <c r="P107" s="151"/>
      <c r="Q107" s="163"/>
      <c r="R107" s="151"/>
      <c r="S107" s="151"/>
      <c r="T107" s="151"/>
      <c r="U107" s="151"/>
      <c r="Y107" s="507">
        <f>'PLANILLA DE CALCULOS '!$H$17</f>
        <v>0</v>
      </c>
      <c r="Z107" s="507"/>
      <c r="AA107" s="507"/>
      <c r="AB107" s="507"/>
      <c r="AC107" s="507"/>
      <c r="AD107" s="507"/>
    </row>
    <row r="108" spans="1:31" s="17" customFormat="1" ht="15.75">
      <c r="A108" s="17" t="s">
        <v>18</v>
      </c>
      <c r="F108" s="151"/>
      <c r="G108" s="160"/>
      <c r="H108" s="151"/>
      <c r="I108" s="151"/>
      <c r="J108" s="151"/>
      <c r="K108" s="151"/>
      <c r="L108" s="151"/>
      <c r="M108" s="163"/>
      <c r="N108" s="163"/>
      <c r="O108" s="163"/>
      <c r="P108" s="151"/>
      <c r="Q108" s="163"/>
      <c r="R108" s="151"/>
      <c r="S108" s="151"/>
      <c r="T108" s="151"/>
      <c r="U108" s="151"/>
      <c r="Y108" s="505">
        <f>SUM(Y106+Y107)</f>
        <v>0</v>
      </c>
      <c r="Z108" s="505"/>
      <c r="AA108" s="505"/>
      <c r="AB108" s="505"/>
      <c r="AC108" s="505"/>
      <c r="AD108" s="505"/>
      <c r="AE108" s="505"/>
    </row>
    <row r="109" spans="5:21" s="17" customFormat="1" ht="12.75">
      <c r="E109" s="153">
        <f>+Y108+Y104</f>
        <v>0</v>
      </c>
      <c r="F109" s="151"/>
      <c r="H109" s="151"/>
      <c r="I109" s="151"/>
      <c r="J109" s="151"/>
      <c r="K109" s="151"/>
      <c r="L109" s="151"/>
      <c r="P109" s="151"/>
      <c r="Q109" s="163"/>
      <c r="R109" s="151"/>
      <c r="S109" s="151"/>
      <c r="T109" s="151"/>
      <c r="U109" s="151"/>
    </row>
    <row r="110" spans="2:21" s="17" customFormat="1" ht="12.75">
      <c r="B110" s="17" t="s">
        <v>19</v>
      </c>
      <c r="F110" s="151"/>
      <c r="K110" s="151"/>
      <c r="L110" s="151"/>
      <c r="P110" s="151"/>
      <c r="Q110" s="163"/>
      <c r="R110" s="151"/>
      <c r="S110" s="151"/>
      <c r="T110" s="151"/>
      <c r="U110" s="151"/>
    </row>
    <row r="111" spans="1:21" s="17" customFormat="1" ht="12.75">
      <c r="A111" s="8" t="s">
        <v>341</v>
      </c>
      <c r="F111" s="151"/>
      <c r="K111" s="151"/>
      <c r="L111" s="151"/>
      <c r="P111" s="151"/>
      <c r="Q111" s="163"/>
      <c r="R111" s="151"/>
      <c r="S111" s="151"/>
      <c r="T111" s="151"/>
      <c r="U111" s="151"/>
    </row>
    <row r="112" spans="1:31" s="17" customFormat="1" ht="12.75">
      <c r="A112" s="24" t="s">
        <v>70</v>
      </c>
      <c r="B112" s="24"/>
      <c r="C112" s="24"/>
      <c r="F112" s="151"/>
      <c r="H112" s="29" t="s">
        <v>26</v>
      </c>
      <c r="I112" s="55" t="s">
        <v>71</v>
      </c>
      <c r="K112" s="151"/>
      <c r="L112" s="151"/>
      <c r="Q112" s="163"/>
      <c r="R112" s="151"/>
      <c r="S112" s="151"/>
      <c r="T112" s="151"/>
      <c r="U112" s="151"/>
      <c r="Y112" s="507">
        <f>'PLANILLA DE CALCULOS '!H41</f>
        <v>0</v>
      </c>
      <c r="Z112" s="507"/>
      <c r="AA112" s="507"/>
      <c r="AB112" s="507"/>
      <c r="AC112" s="507"/>
      <c r="AD112" s="507"/>
      <c r="AE112" s="386"/>
    </row>
    <row r="113" spans="1:31" s="17" customFormat="1" ht="12.75">
      <c r="A113" s="24" t="s">
        <v>72</v>
      </c>
      <c r="B113" s="24"/>
      <c r="C113" s="24"/>
      <c r="D113" s="29"/>
      <c r="F113" s="151"/>
      <c r="K113" s="151"/>
      <c r="L113" s="151"/>
      <c r="P113" s="151"/>
      <c r="Q113" s="163"/>
      <c r="R113" s="151"/>
      <c r="S113" s="151"/>
      <c r="T113" s="151"/>
      <c r="U113" s="151"/>
      <c r="Y113" s="507">
        <f>'PLANILLA DE CALCULOS '!H42</f>
        <v>0</v>
      </c>
      <c r="Z113" s="507"/>
      <c r="AA113" s="507"/>
      <c r="AB113" s="507"/>
      <c r="AC113" s="507"/>
      <c r="AD113" s="507"/>
      <c r="AE113" s="386"/>
    </row>
    <row r="114" spans="1:21" s="17" customFormat="1" ht="15">
      <c r="A114" s="24" t="s">
        <v>65</v>
      </c>
      <c r="B114" s="24"/>
      <c r="C114" s="24"/>
      <c r="D114" s="29"/>
      <c r="F114" s="151"/>
      <c r="K114" s="151"/>
      <c r="L114" s="151"/>
      <c r="N114" s="521">
        <f>'PLANILLA DE CALCULOS '!D43</f>
        <v>0</v>
      </c>
      <c r="O114" s="521"/>
      <c r="P114" s="521"/>
      <c r="Q114" s="521"/>
      <c r="R114" s="521"/>
      <c r="S114" s="151"/>
      <c r="T114" s="151"/>
      <c r="U114" s="151"/>
    </row>
    <row r="115" spans="1:30" s="17" customFormat="1" ht="12.75">
      <c r="A115" s="24" t="s">
        <v>73</v>
      </c>
      <c r="B115" s="24"/>
      <c r="C115" s="24"/>
      <c r="D115" s="29"/>
      <c r="F115" s="151"/>
      <c r="K115" s="151"/>
      <c r="L115" s="151"/>
      <c r="N115" s="522">
        <f>'PLANILLA DE CALCULOS '!D44</f>
        <v>0</v>
      </c>
      <c r="O115" s="522"/>
      <c r="P115" s="522"/>
      <c r="Q115" s="522"/>
      <c r="R115" s="522"/>
      <c r="S115" s="151"/>
      <c r="T115" s="151"/>
      <c r="U115" s="151"/>
      <c r="Y115" s="507">
        <f>'PLANILLA DE CALCULOS '!H44</f>
        <v>0</v>
      </c>
      <c r="Z115" s="507"/>
      <c r="AA115" s="507"/>
      <c r="AB115" s="507"/>
      <c r="AC115" s="507"/>
      <c r="AD115" s="507"/>
    </row>
    <row r="116" spans="1:30" s="17" customFormat="1" ht="12.75">
      <c r="A116" s="24" t="s">
        <v>67</v>
      </c>
      <c r="B116" s="24"/>
      <c r="C116" s="24"/>
      <c r="F116" s="151"/>
      <c r="H116" s="29" t="s">
        <v>26</v>
      </c>
      <c r="I116" s="520">
        <f>'PLANILLA DE CALCULOS '!$C$45</f>
        <v>0</v>
      </c>
      <c r="J116" s="520"/>
      <c r="K116" s="520"/>
      <c r="L116" s="389"/>
      <c r="M116" s="389"/>
      <c r="N116" s="522">
        <f>'PLANILLA DE CALCULOS '!D45</f>
        <v>0</v>
      </c>
      <c r="O116" s="522"/>
      <c r="P116" s="522"/>
      <c r="Q116" s="522"/>
      <c r="R116" s="522"/>
      <c r="U116" s="151"/>
      <c r="Y116" s="507">
        <f>'PLANILLA DE CALCULOS '!H45</f>
        <v>0</v>
      </c>
      <c r="Z116" s="507"/>
      <c r="AA116" s="507"/>
      <c r="AB116" s="507"/>
      <c r="AC116" s="507"/>
      <c r="AD116" s="507"/>
    </row>
    <row r="117" spans="1:30" s="17" customFormat="1" ht="15.75">
      <c r="A117" s="17" t="s">
        <v>10</v>
      </c>
      <c r="B117" s="24"/>
      <c r="C117" s="24"/>
      <c r="D117" s="24"/>
      <c r="F117" s="151"/>
      <c r="K117" s="151"/>
      <c r="L117" s="151"/>
      <c r="P117" s="151"/>
      <c r="Q117" s="163"/>
      <c r="R117" s="151"/>
      <c r="S117" s="151"/>
      <c r="T117" s="151"/>
      <c r="U117" s="151"/>
      <c r="Y117" s="505">
        <f>'PLANILLA DE CALCULOS '!H46</f>
        <v>0</v>
      </c>
      <c r="Z117" s="505"/>
      <c r="AA117" s="505"/>
      <c r="AB117" s="505"/>
      <c r="AC117" s="505"/>
      <c r="AD117" s="505"/>
    </row>
    <row r="118" spans="6:21" s="17" customFormat="1" ht="12.75">
      <c r="F118" s="151"/>
      <c r="K118" s="151"/>
      <c r="L118" s="151"/>
      <c r="P118" s="151"/>
      <c r="Q118" s="163"/>
      <c r="R118" s="151"/>
      <c r="S118" s="151"/>
      <c r="T118" s="151"/>
      <c r="U118" s="151"/>
    </row>
    <row r="119" spans="6:21" s="17" customFormat="1" ht="12.75">
      <c r="F119" s="151"/>
      <c r="K119" s="151"/>
      <c r="L119" s="151"/>
      <c r="P119" s="151"/>
      <c r="Q119" s="163"/>
      <c r="R119" s="151"/>
      <c r="S119" s="151"/>
      <c r="T119" s="151"/>
      <c r="U119" s="151"/>
    </row>
    <row r="120" spans="6:21" s="17" customFormat="1" ht="12.75">
      <c r="F120" s="151"/>
      <c r="K120" s="151"/>
      <c r="L120" s="151"/>
      <c r="P120" s="151"/>
      <c r="Q120" s="163"/>
      <c r="R120" s="151"/>
      <c r="S120" s="151"/>
      <c r="T120" s="151"/>
      <c r="U120" s="151"/>
    </row>
    <row r="121" spans="1:21" s="17" customFormat="1" ht="12.75">
      <c r="A121" s="8" t="s">
        <v>340</v>
      </c>
      <c r="F121" s="151"/>
      <c r="K121" s="151"/>
      <c r="L121" s="151"/>
      <c r="P121" s="151"/>
      <c r="Q121" s="163"/>
      <c r="R121" s="151"/>
      <c r="S121" s="151"/>
      <c r="T121" s="151"/>
      <c r="U121" s="151"/>
    </row>
    <row r="122" spans="1:21" s="17" customFormat="1" ht="12.75">
      <c r="A122" s="24" t="s">
        <v>65</v>
      </c>
      <c r="F122" s="151"/>
      <c r="K122" s="151"/>
      <c r="L122" s="151"/>
      <c r="N122" s="508">
        <f>'PLANILLA DE CALCULOS '!F51</f>
        <v>0</v>
      </c>
      <c r="O122" s="508"/>
      <c r="P122" s="508"/>
      <c r="Q122" s="508"/>
      <c r="R122" s="508"/>
      <c r="S122" s="508"/>
      <c r="T122" s="318"/>
      <c r="U122" s="151"/>
    </row>
    <row r="123" spans="1:48" s="17" customFormat="1" ht="12.75">
      <c r="A123" s="24" t="s">
        <v>9</v>
      </c>
      <c r="F123" s="151"/>
      <c r="I123" s="37" t="s">
        <v>9</v>
      </c>
      <c r="K123" s="151"/>
      <c r="L123" s="151"/>
      <c r="N123" s="508">
        <f>'PLANILLA DE CALCULOS '!F52</f>
        <v>0</v>
      </c>
      <c r="O123" s="508"/>
      <c r="P123" s="508"/>
      <c r="Q123" s="508"/>
      <c r="R123" s="508"/>
      <c r="S123" s="508"/>
      <c r="T123" s="318"/>
      <c r="U123" s="151"/>
      <c r="Y123" s="507">
        <f>'PLANILLA DE CALCULOS '!$H$52</f>
        <v>0</v>
      </c>
      <c r="Z123" s="507"/>
      <c r="AA123" s="507"/>
      <c r="AB123" s="507"/>
      <c r="AC123" s="507"/>
      <c r="AD123" s="507"/>
      <c r="AE123" s="507"/>
      <c r="AO123" s="283"/>
      <c r="AP123" s="283"/>
      <c r="AQ123" s="283"/>
      <c r="AR123" s="283"/>
      <c r="AS123" s="283"/>
      <c r="AT123" s="283"/>
      <c r="AU123" s="283"/>
      <c r="AV123" s="283"/>
    </row>
    <row r="124" spans="1:31" s="17" customFormat="1" ht="12.75">
      <c r="A124" s="24" t="s">
        <v>67</v>
      </c>
      <c r="F124" s="151"/>
      <c r="H124" s="29" t="s">
        <v>26</v>
      </c>
      <c r="I124" s="506">
        <f>'PLANILLA DE CALCULOS '!E53</f>
        <v>0</v>
      </c>
      <c r="J124" s="506"/>
      <c r="K124" s="506"/>
      <c r="L124" s="151"/>
      <c r="N124" s="508">
        <f>'PLANILLA DE CALCULOS '!F53</f>
        <v>0</v>
      </c>
      <c r="O124" s="508"/>
      <c r="P124" s="508"/>
      <c r="Q124" s="508"/>
      <c r="R124" s="508"/>
      <c r="S124" s="508"/>
      <c r="T124" s="318"/>
      <c r="U124" s="151"/>
      <c r="Y124" s="507">
        <f>'PLANILLA DE CALCULOS '!$H$53</f>
        <v>0</v>
      </c>
      <c r="Z124" s="507"/>
      <c r="AA124" s="507"/>
      <c r="AB124" s="507"/>
      <c r="AC124" s="507"/>
      <c r="AD124" s="507"/>
      <c r="AE124" s="507"/>
    </row>
    <row r="125" spans="1:31" s="17" customFormat="1" ht="12.75">
      <c r="A125" s="24" t="s">
        <v>67</v>
      </c>
      <c r="F125" s="151"/>
      <c r="H125" s="29" t="s">
        <v>26</v>
      </c>
      <c r="I125" s="506">
        <f>'PLANILLA DE CALCULOS '!E54</f>
        <v>0</v>
      </c>
      <c r="J125" s="506"/>
      <c r="K125" s="506"/>
      <c r="L125" s="151"/>
      <c r="N125" s="508">
        <f>'PLANILLA DE CALCULOS '!F54</f>
        <v>0</v>
      </c>
      <c r="O125" s="508"/>
      <c r="P125" s="508"/>
      <c r="Q125" s="508"/>
      <c r="R125" s="508"/>
      <c r="S125" s="508"/>
      <c r="T125" s="318"/>
      <c r="U125" s="151"/>
      <c r="Y125" s="507">
        <f>'PLANILLA DE CALCULOS '!$H$54</f>
        <v>0</v>
      </c>
      <c r="Z125" s="507"/>
      <c r="AA125" s="507"/>
      <c r="AB125" s="507"/>
      <c r="AC125" s="507"/>
      <c r="AD125" s="507"/>
      <c r="AE125" s="507"/>
    </row>
    <row r="126" spans="6:31" s="17" customFormat="1" ht="15.75">
      <c r="F126" s="151"/>
      <c r="K126" s="151"/>
      <c r="L126" s="151"/>
      <c r="N126" s="388" t="str">
        <f>'PLANILLA DE CALCULOS '!F55</f>
        <v>TOTAL (D-1)</v>
      </c>
      <c r="P126" s="151"/>
      <c r="Q126" s="163"/>
      <c r="R126" s="151"/>
      <c r="S126" s="151"/>
      <c r="T126" s="151"/>
      <c r="U126" s="151"/>
      <c r="Y126" s="505">
        <f>'PLANILLA DE CALCULOS '!$H$55</f>
        <v>0</v>
      </c>
      <c r="Z126" s="505"/>
      <c r="AA126" s="505"/>
      <c r="AB126" s="505"/>
      <c r="AC126" s="505"/>
      <c r="AD126" s="505"/>
      <c r="AE126" s="505"/>
    </row>
    <row r="127" spans="6:21" s="17" customFormat="1" ht="12.75">
      <c r="F127" s="151"/>
      <c r="K127" s="151"/>
      <c r="L127" s="151"/>
      <c r="P127" s="151"/>
      <c r="Q127" s="163"/>
      <c r="R127" s="151"/>
      <c r="S127" s="151"/>
      <c r="T127" s="151"/>
      <c r="U127" s="151"/>
    </row>
    <row r="128" spans="1:29" s="17" customFormat="1" ht="12.75">
      <c r="A128" s="319" t="s">
        <v>266</v>
      </c>
      <c r="D128" s="197"/>
      <c r="I128" s="197"/>
      <c r="AA128" s="283"/>
      <c r="AB128" s="283"/>
      <c r="AC128" s="283"/>
    </row>
    <row r="129" spans="1:62" s="17" customFormat="1" ht="12.75">
      <c r="A129" s="297"/>
      <c r="D129" s="197"/>
      <c r="P129" s="317"/>
      <c r="Q129" s="317"/>
      <c r="R129" s="317"/>
      <c r="S129" s="317"/>
      <c r="T129" s="317"/>
      <c r="U129" s="317"/>
      <c r="AH129" s="151"/>
      <c r="AI129" s="151"/>
      <c r="BH129" s="151"/>
      <c r="BI129" s="151"/>
      <c r="BJ129" s="151"/>
    </row>
    <row r="130" spans="1:62" s="17" customFormat="1" ht="12.75">
      <c r="A130" s="540" t="s">
        <v>291</v>
      </c>
      <c r="B130" s="540"/>
      <c r="C130" s="540"/>
      <c r="D130" s="540"/>
      <c r="E130" s="540"/>
      <c r="F130" s="540"/>
      <c r="G130" s="540"/>
      <c r="H130" s="540"/>
      <c r="I130" s="540"/>
      <c r="J130" s="540"/>
      <c r="K130" s="540"/>
      <c r="L130" s="540"/>
      <c r="M130" s="540"/>
      <c r="N130" s="540"/>
      <c r="O130" s="540"/>
      <c r="P130" s="540"/>
      <c r="Q130" s="540"/>
      <c r="R130" s="540"/>
      <c r="S130" s="540"/>
      <c r="T130" s="540"/>
      <c r="U130" s="540"/>
      <c r="V130" s="540"/>
      <c r="W130" s="540"/>
      <c r="X130" s="540"/>
      <c r="Y130" s="540"/>
      <c r="Z130" s="540"/>
      <c r="AA130" s="540"/>
      <c r="AB130" s="283"/>
      <c r="AC130" s="283"/>
      <c r="AH130" s="151"/>
      <c r="AI130" s="273"/>
      <c r="AJ130" s="151"/>
      <c r="AK130" s="151"/>
      <c r="AL130" s="151"/>
      <c r="AM130" s="151"/>
      <c r="AN130" s="273"/>
      <c r="AO130" s="273"/>
      <c r="AP130" s="273"/>
      <c r="AQ130" s="273"/>
      <c r="AR130" s="273"/>
      <c r="AS130" s="273"/>
      <c r="AT130" s="273"/>
      <c r="AU130" s="273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  <c r="BI130" s="151"/>
      <c r="BJ130" s="151"/>
    </row>
    <row r="131" spans="2:62" s="17" customFormat="1" ht="15.75">
      <c r="B131" s="298"/>
      <c r="C131" s="298"/>
      <c r="D131" s="298"/>
      <c r="E131" s="298"/>
      <c r="F131" s="298"/>
      <c r="G131" s="298"/>
      <c r="H131" s="298"/>
      <c r="I131" s="325" t="s">
        <v>292</v>
      </c>
      <c r="J131" s="537">
        <f>'PLANILLA DE CALCULOS '!$H$76</f>
        <v>0</v>
      </c>
      <c r="K131" s="537"/>
      <c r="L131" s="537"/>
      <c r="M131" s="537"/>
      <c r="N131" s="537"/>
      <c r="O131" s="537"/>
      <c r="P131" s="537"/>
      <c r="Q131" s="298"/>
      <c r="R131" s="298"/>
      <c r="S131" s="298"/>
      <c r="T131" s="298"/>
      <c r="U131" s="298"/>
      <c r="V131" s="298"/>
      <c r="W131" s="298"/>
      <c r="X131" s="298"/>
      <c r="Y131" s="298"/>
      <c r="Z131" s="298"/>
      <c r="AA131" s="298"/>
      <c r="AB131" s="283"/>
      <c r="AC131" s="283"/>
      <c r="AH131" s="151"/>
      <c r="AI131" s="151"/>
      <c r="AJ131" s="151"/>
      <c r="AK131" s="151"/>
      <c r="AL131" s="273"/>
      <c r="AM131" s="273"/>
      <c r="AN131" s="273"/>
      <c r="AO131" s="273"/>
      <c r="AP131" s="273"/>
      <c r="AQ131" s="273"/>
      <c r="AR131" s="273"/>
      <c r="AS131" s="273"/>
      <c r="AT131" s="273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  <c r="BI131" s="151"/>
      <c r="BJ131" s="151"/>
    </row>
    <row r="132" spans="2:62" s="17" customFormat="1" ht="15.75">
      <c r="B132" s="298"/>
      <c r="C132" s="298"/>
      <c r="D132" s="298"/>
      <c r="E132" s="298"/>
      <c r="F132" s="298"/>
      <c r="G132" s="298"/>
      <c r="H132" s="298"/>
      <c r="I132" s="325"/>
      <c r="J132" s="341"/>
      <c r="K132" s="341"/>
      <c r="L132" s="341"/>
      <c r="M132" s="341"/>
      <c r="N132" s="341"/>
      <c r="O132" s="341"/>
      <c r="P132" s="341"/>
      <c r="Q132" s="298"/>
      <c r="R132" s="298"/>
      <c r="S132" s="298"/>
      <c r="T132" s="298"/>
      <c r="U132" s="298"/>
      <c r="V132" s="298"/>
      <c r="W132" s="298"/>
      <c r="X132" s="298"/>
      <c r="Y132" s="298"/>
      <c r="Z132" s="298"/>
      <c r="AA132" s="298"/>
      <c r="AB132" s="283"/>
      <c r="AC132" s="283"/>
      <c r="AG132" s="496" t="s">
        <v>16</v>
      </c>
      <c r="AH132" s="497"/>
      <c r="AI132" s="497"/>
      <c r="AJ132" s="497"/>
      <c r="AK132" s="497"/>
      <c r="AL132" s="497"/>
      <c r="AM132" s="497"/>
      <c r="AN132" s="497"/>
      <c r="AO132" s="498"/>
      <c r="AP132" s="496"/>
      <c r="AQ132" s="497"/>
      <c r="AR132" s="497"/>
      <c r="AS132" s="497"/>
      <c r="AT132" s="497"/>
      <c r="AU132" s="497"/>
      <c r="AV132" s="497"/>
      <c r="AW132" s="497"/>
      <c r="AX132" s="497"/>
      <c r="AY132" s="497"/>
      <c r="AZ132" s="497"/>
      <c r="BA132" s="497"/>
      <c r="BB132" s="497"/>
      <c r="BC132" s="497"/>
      <c r="BD132" s="497"/>
      <c r="BE132" s="497"/>
      <c r="BF132" s="497"/>
      <c r="BG132" s="497"/>
      <c r="BH132" s="498"/>
      <c r="BI132" s="151"/>
      <c r="BJ132" s="151"/>
    </row>
    <row r="133" spans="1:62" s="17" customFormat="1" ht="15.75">
      <c r="A133" s="540" t="s">
        <v>267</v>
      </c>
      <c r="B133" s="540"/>
      <c r="C133" s="540"/>
      <c r="D133" s="540"/>
      <c r="E133" s="540"/>
      <c r="F133" s="540"/>
      <c r="G133" s="540"/>
      <c r="H133" s="540"/>
      <c r="I133" s="540"/>
      <c r="J133" s="540"/>
      <c r="K133" s="540"/>
      <c r="L133" s="540"/>
      <c r="M133" s="540"/>
      <c r="N133" s="540"/>
      <c r="O133" s="540"/>
      <c r="P133" s="540"/>
      <c r="Q133" s="540"/>
      <c r="R133" s="540"/>
      <c r="S133" s="540"/>
      <c r="T133" s="540"/>
      <c r="U133" s="540"/>
      <c r="V133" s="540"/>
      <c r="W133" s="540"/>
      <c r="X133" s="540"/>
      <c r="Y133" s="318"/>
      <c r="Z133" s="318"/>
      <c r="AA133" s="284"/>
      <c r="AB133" s="284"/>
      <c r="AC133" s="284"/>
      <c r="AD133" s="284"/>
      <c r="AG133" s="499"/>
      <c r="AH133" s="500"/>
      <c r="AI133" s="500"/>
      <c r="AJ133" s="500"/>
      <c r="AK133" s="500"/>
      <c r="AL133" s="500"/>
      <c r="AM133" s="500"/>
      <c r="AN133" s="500"/>
      <c r="AO133" s="501"/>
      <c r="AP133" s="499"/>
      <c r="AQ133" s="500"/>
      <c r="AR133" s="500"/>
      <c r="AS133" s="500"/>
      <c r="AT133" s="500"/>
      <c r="AU133" s="500"/>
      <c r="AV133" s="500"/>
      <c r="AW133" s="500"/>
      <c r="AX133" s="500"/>
      <c r="AY133" s="500"/>
      <c r="AZ133" s="500"/>
      <c r="BA133" s="500"/>
      <c r="BB133" s="500"/>
      <c r="BC133" s="500"/>
      <c r="BD133" s="500"/>
      <c r="BE133" s="500"/>
      <c r="BF133" s="500"/>
      <c r="BG133" s="500"/>
      <c r="BH133" s="501"/>
      <c r="BI133" s="151"/>
      <c r="BJ133" s="151"/>
    </row>
    <row r="134" spans="2:62" s="17" customFormat="1" ht="31.5" customHeight="1">
      <c r="B134" s="298"/>
      <c r="C134" s="298"/>
      <c r="D134" s="298"/>
      <c r="E134" s="298"/>
      <c r="F134" s="298"/>
      <c r="G134" s="298"/>
      <c r="H134" s="390"/>
      <c r="I134" s="391" t="s">
        <v>293</v>
      </c>
      <c r="J134" s="538">
        <f>'INGRESO DE DATOS'!$G$55</f>
        <v>0</v>
      </c>
      <c r="K134" s="538"/>
      <c r="L134" s="538"/>
      <c r="M134" s="538"/>
      <c r="N134" s="538"/>
      <c r="O134" s="538"/>
      <c r="P134" s="538"/>
      <c r="Q134" s="298"/>
      <c r="R134" s="298"/>
      <c r="S134" s="298"/>
      <c r="T134" s="298"/>
      <c r="U134" s="298"/>
      <c r="V134" s="298"/>
      <c r="W134" s="298"/>
      <c r="X134" s="298"/>
      <c r="Y134" s="298"/>
      <c r="Z134" s="298"/>
      <c r="AA134" s="298"/>
      <c r="AB134" s="298"/>
      <c r="AG134" s="502"/>
      <c r="AH134" s="503"/>
      <c r="AI134" s="503"/>
      <c r="AJ134" s="503"/>
      <c r="AK134" s="503"/>
      <c r="AL134" s="503"/>
      <c r="AM134" s="503"/>
      <c r="AN134" s="503"/>
      <c r="AO134" s="504"/>
      <c r="AP134" s="502"/>
      <c r="AQ134" s="503"/>
      <c r="AR134" s="503"/>
      <c r="AS134" s="503"/>
      <c r="AT134" s="503"/>
      <c r="AU134" s="503"/>
      <c r="AV134" s="503"/>
      <c r="AW134" s="503"/>
      <c r="AX134" s="503"/>
      <c r="AY134" s="503"/>
      <c r="AZ134" s="503"/>
      <c r="BA134" s="503"/>
      <c r="BB134" s="503"/>
      <c r="BC134" s="503"/>
      <c r="BD134" s="503"/>
      <c r="BE134" s="503"/>
      <c r="BF134" s="503"/>
      <c r="BG134" s="503"/>
      <c r="BH134" s="504"/>
      <c r="BI134" s="151"/>
      <c r="BJ134" s="151"/>
    </row>
    <row r="135" spans="2:62" s="17" customFormat="1" ht="15.75" customHeight="1">
      <c r="B135" s="328" t="s">
        <v>294</v>
      </c>
      <c r="C135" s="298"/>
      <c r="D135" s="298"/>
      <c r="E135" s="298"/>
      <c r="F135" s="298"/>
      <c r="G135" s="298"/>
      <c r="H135" s="298"/>
      <c r="I135" s="494" t="str">
        <f>'INGRESO DE DATOS'!$A$59</f>
        <v>PESOS  con 00/100 Cvos.</v>
      </c>
      <c r="J135" s="495"/>
      <c r="K135" s="495"/>
      <c r="L135" s="495"/>
      <c r="M135" s="495"/>
      <c r="N135" s="495"/>
      <c r="O135" s="495"/>
      <c r="P135" s="495"/>
      <c r="Q135" s="495"/>
      <c r="R135" s="495"/>
      <c r="S135" s="495"/>
      <c r="T135" s="495"/>
      <c r="U135" s="495"/>
      <c r="V135" s="495"/>
      <c r="W135" s="495"/>
      <c r="X135" s="495"/>
      <c r="Y135" s="495"/>
      <c r="Z135" s="495"/>
      <c r="AA135" s="495"/>
      <c r="AB135" s="495"/>
      <c r="AC135" s="495"/>
      <c r="AD135" s="495"/>
      <c r="AE135" s="495"/>
      <c r="AF135" s="495"/>
      <c r="AG135" s="495"/>
      <c r="AH135" s="495"/>
      <c r="AI135" s="495"/>
      <c r="AJ135" s="495"/>
      <c r="AK135" s="495"/>
      <c r="AL135" s="495"/>
      <c r="AM135" s="495"/>
      <c r="AN135" s="495"/>
      <c r="AO135" s="495"/>
      <c r="AP135" s="495"/>
      <c r="AQ135" s="495"/>
      <c r="AR135" s="495"/>
      <c r="AS135" s="495"/>
      <c r="AT135" s="495"/>
      <c r="AU135" s="495"/>
      <c r="AV135" s="495"/>
      <c r="AW135" s="495"/>
      <c r="AX135" s="495"/>
      <c r="AY135" s="495"/>
      <c r="AZ135" s="495"/>
      <c r="BA135" s="495"/>
      <c r="BB135" s="495"/>
      <c r="BC135" s="495"/>
      <c r="BD135" s="495"/>
      <c r="BE135" s="495"/>
      <c r="BF135" s="495"/>
      <c r="BG135" s="495"/>
      <c r="BH135" s="495"/>
      <c r="BI135" s="151"/>
      <c r="BJ135" s="151"/>
    </row>
    <row r="136" spans="2:62" s="17" customFormat="1" ht="15.75" customHeight="1" thickBot="1">
      <c r="B136" s="298"/>
      <c r="C136" s="298"/>
      <c r="D136" s="298"/>
      <c r="E136" s="298"/>
      <c r="F136" s="298"/>
      <c r="G136" s="298"/>
      <c r="H136" s="298"/>
      <c r="I136" s="326"/>
      <c r="J136" s="327"/>
      <c r="K136" s="327"/>
      <c r="L136" s="327"/>
      <c r="M136" s="327"/>
      <c r="N136" s="327"/>
      <c r="O136" s="327"/>
      <c r="P136" s="327"/>
      <c r="Q136" s="298"/>
      <c r="R136" s="298"/>
      <c r="S136" s="298"/>
      <c r="T136" s="298"/>
      <c r="U136" s="298"/>
      <c r="V136" s="298"/>
      <c r="W136" s="298"/>
      <c r="X136" s="298"/>
      <c r="Y136" s="298"/>
      <c r="Z136" s="298"/>
      <c r="AA136" s="298"/>
      <c r="AB136" s="298"/>
      <c r="AH136" s="151"/>
      <c r="AI136" s="159"/>
      <c r="AJ136" s="159"/>
      <c r="AK136" s="159"/>
      <c r="AL136" s="159"/>
      <c r="AM136" s="159"/>
      <c r="AN136" s="159"/>
      <c r="AO136" s="159"/>
      <c r="AP136" s="159"/>
      <c r="AQ136" s="151"/>
      <c r="AR136" s="312"/>
      <c r="AS136" s="312"/>
      <c r="AT136" s="312"/>
      <c r="AU136" s="312"/>
      <c r="AV136" s="312"/>
      <c r="AW136" s="312"/>
      <c r="AX136" s="151"/>
      <c r="AY136" s="151"/>
      <c r="AZ136" s="151"/>
      <c r="BA136" s="288"/>
      <c r="BB136" s="288"/>
      <c r="BC136" s="288"/>
      <c r="BD136" s="288"/>
      <c r="BE136" s="288"/>
      <c r="BF136" s="151"/>
      <c r="BG136" s="151"/>
      <c r="BH136" s="151"/>
      <c r="BI136" s="151"/>
      <c r="BJ136" s="151"/>
    </row>
    <row r="137" spans="1:62" s="17" customFormat="1" ht="15.75">
      <c r="A137" s="297"/>
      <c r="D137" s="197"/>
      <c r="I137" s="298" t="s">
        <v>295</v>
      </c>
      <c r="S137" s="536">
        <f>J134/10</f>
        <v>0</v>
      </c>
      <c r="T137" s="536"/>
      <c r="U137" s="536"/>
      <c r="V137" s="536"/>
      <c r="W137" s="536"/>
      <c r="X137" s="536"/>
      <c r="Y137" s="536"/>
      <c r="Z137" s="536"/>
      <c r="AA137" s="536"/>
      <c r="AH137" s="329"/>
      <c r="AI137" s="330"/>
      <c r="AJ137" s="330"/>
      <c r="AK137" s="330"/>
      <c r="AL137" s="331"/>
      <c r="AM137" s="331"/>
      <c r="AN137" s="332"/>
      <c r="AO137" s="331"/>
      <c r="AP137" s="331"/>
      <c r="AQ137" s="331"/>
      <c r="AR137" s="333"/>
      <c r="AS137" s="333"/>
      <c r="AT137" s="333"/>
      <c r="AU137" s="333"/>
      <c r="AV137" s="333"/>
      <c r="AW137" s="331"/>
      <c r="AX137" s="331"/>
      <c r="AY137" s="331"/>
      <c r="AZ137" s="331"/>
      <c r="BA137" s="334"/>
      <c r="BB137" s="334"/>
      <c r="BC137" s="334"/>
      <c r="BD137" s="334"/>
      <c r="BE137" s="334"/>
      <c r="BF137" s="331"/>
      <c r="BG137" s="331"/>
      <c r="BH137" s="335"/>
      <c r="BI137" s="151"/>
      <c r="BJ137" s="151"/>
    </row>
    <row r="138" spans="2:62" s="17" customFormat="1" ht="12.75">
      <c r="B138" s="298"/>
      <c r="C138" s="298"/>
      <c r="D138" s="298"/>
      <c r="E138" s="298"/>
      <c r="F138" s="298"/>
      <c r="G138" s="298"/>
      <c r="H138" s="298"/>
      <c r="I138" s="298"/>
      <c r="J138" s="298"/>
      <c r="K138" s="298"/>
      <c r="L138" s="298"/>
      <c r="M138" s="298"/>
      <c r="N138" s="298"/>
      <c r="O138" s="298"/>
      <c r="P138" s="298"/>
      <c r="Q138" s="298"/>
      <c r="R138" s="298"/>
      <c r="S138" s="298"/>
      <c r="T138" s="298"/>
      <c r="U138" s="298"/>
      <c r="V138" s="298"/>
      <c r="W138" s="298"/>
      <c r="AH138" s="336"/>
      <c r="AI138" s="151"/>
      <c r="AJ138" s="151"/>
      <c r="AK138" s="151"/>
      <c r="AL138" s="151"/>
      <c r="AM138" s="151"/>
      <c r="AN138" s="275"/>
      <c r="AO138" s="151"/>
      <c r="AP138" s="151"/>
      <c r="AQ138" s="151"/>
      <c r="AR138" s="151"/>
      <c r="AS138" s="275"/>
      <c r="AT138" s="151"/>
      <c r="AU138" s="151"/>
      <c r="AV138" s="151"/>
      <c r="AW138" s="151"/>
      <c r="AX138" s="151"/>
      <c r="AY138" s="151"/>
      <c r="AZ138" s="151"/>
      <c r="BA138" s="313"/>
      <c r="BB138" s="313"/>
      <c r="BC138" s="313"/>
      <c r="BD138" s="313"/>
      <c r="BE138" s="313"/>
      <c r="BF138" s="151"/>
      <c r="BG138" s="151"/>
      <c r="BH138" s="337"/>
      <c r="BI138" s="151"/>
      <c r="BJ138" s="151"/>
    </row>
    <row r="139" spans="1:62" s="17" customFormat="1" ht="12.75">
      <c r="A139" s="541" t="s">
        <v>268</v>
      </c>
      <c r="B139" s="541"/>
      <c r="C139" s="541"/>
      <c r="D139" s="541"/>
      <c r="E139" s="541"/>
      <c r="F139" s="541"/>
      <c r="G139" s="541"/>
      <c r="H139" s="541"/>
      <c r="I139" s="541"/>
      <c r="J139" s="541"/>
      <c r="K139" s="541"/>
      <c r="L139" s="541"/>
      <c r="M139" s="541"/>
      <c r="N139" s="541"/>
      <c r="O139" s="541"/>
      <c r="P139" s="541"/>
      <c r="Q139" s="541"/>
      <c r="R139" s="541"/>
      <c r="S139" s="541"/>
      <c r="T139" s="541"/>
      <c r="U139" s="541"/>
      <c r="V139" s="541"/>
      <c r="W139" s="541"/>
      <c r="AH139" s="336"/>
      <c r="AI139" s="151"/>
      <c r="AJ139" s="151"/>
      <c r="AK139" s="151"/>
      <c r="AL139" s="151"/>
      <c r="AM139" s="151"/>
      <c r="AN139" s="275"/>
      <c r="AO139" s="151"/>
      <c r="AP139" s="151"/>
      <c r="AQ139" s="151"/>
      <c r="AR139" s="151"/>
      <c r="AS139" s="275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337"/>
      <c r="BI139" s="151"/>
      <c r="BJ139" s="151"/>
    </row>
    <row r="140" spans="1:62" s="17" customFormat="1" ht="12.75">
      <c r="A140" s="297"/>
      <c r="B140" s="300"/>
      <c r="C140" s="300"/>
      <c r="M140" s="283"/>
      <c r="N140" s="283"/>
      <c r="O140" s="283"/>
      <c r="P140" s="283"/>
      <c r="Q140" s="283"/>
      <c r="R140" s="283"/>
      <c r="S140" s="283"/>
      <c r="Y140" s="283"/>
      <c r="Z140" s="283"/>
      <c r="AA140" s="283"/>
      <c r="AB140" s="283"/>
      <c r="AC140" s="283"/>
      <c r="AH140" s="336"/>
      <c r="AI140" s="287"/>
      <c r="AJ140" s="151"/>
      <c r="AK140" s="151"/>
      <c r="AL140" s="151"/>
      <c r="AM140" s="151"/>
      <c r="AN140" s="275"/>
      <c r="AO140" s="151"/>
      <c r="AP140" s="151"/>
      <c r="AQ140" s="151"/>
      <c r="AR140" s="151"/>
      <c r="AS140" s="275"/>
      <c r="AT140" s="151"/>
      <c r="AU140" s="151"/>
      <c r="AV140" s="151"/>
      <c r="AW140" s="151"/>
      <c r="AX140" s="151"/>
      <c r="AY140" s="151"/>
      <c r="AZ140" s="151"/>
      <c r="BA140" s="288"/>
      <c r="BB140" s="288"/>
      <c r="BC140" s="288"/>
      <c r="BD140" s="288"/>
      <c r="BE140" s="288"/>
      <c r="BF140" s="151"/>
      <c r="BG140" s="151"/>
      <c r="BH140" s="337"/>
      <c r="BI140" s="151"/>
      <c r="BJ140" s="151"/>
    </row>
    <row r="141" spans="4:62" s="17" customFormat="1" ht="15.75">
      <c r="D141" s="154"/>
      <c r="Y141" s="284"/>
      <c r="Z141" s="284"/>
      <c r="AA141" s="284"/>
      <c r="AB141" s="284"/>
      <c r="AC141" s="284"/>
      <c r="AD141" s="284"/>
      <c r="AH141" s="336"/>
      <c r="AI141" s="287"/>
      <c r="AJ141" s="151"/>
      <c r="AK141" s="151"/>
      <c r="AL141" s="151"/>
      <c r="AM141" s="151"/>
      <c r="AN141" s="275"/>
      <c r="AO141" s="151"/>
      <c r="AP141" s="151"/>
      <c r="AQ141" s="151"/>
      <c r="AR141" s="151"/>
      <c r="AS141" s="275"/>
      <c r="AT141" s="151"/>
      <c r="AU141" s="151"/>
      <c r="AV141" s="151"/>
      <c r="AW141" s="151"/>
      <c r="AX141" s="151"/>
      <c r="AY141" s="151"/>
      <c r="AZ141" s="151"/>
      <c r="BA141" s="288"/>
      <c r="BB141" s="288"/>
      <c r="BC141" s="288"/>
      <c r="BD141" s="288"/>
      <c r="BE141" s="288"/>
      <c r="BF141" s="151"/>
      <c r="BG141" s="151"/>
      <c r="BH141" s="337"/>
      <c r="BI141" s="151"/>
      <c r="BJ141" s="151"/>
    </row>
    <row r="142" spans="4:62" s="17" customFormat="1" ht="12.75">
      <c r="D142" s="154"/>
      <c r="E142" s="157"/>
      <c r="F142" s="151"/>
      <c r="G142" s="151"/>
      <c r="H142" s="151"/>
      <c r="I142" s="151"/>
      <c r="J142" s="159"/>
      <c r="K142" s="159"/>
      <c r="L142" s="159"/>
      <c r="M142" s="159"/>
      <c r="N142" s="159"/>
      <c r="O142" s="151"/>
      <c r="P142" s="151"/>
      <c r="Q142" s="151"/>
      <c r="R142" s="151"/>
      <c r="S142" s="151"/>
      <c r="T142" s="151"/>
      <c r="U142" s="151"/>
      <c r="AH142" s="336"/>
      <c r="AI142" s="289"/>
      <c r="AJ142" s="151"/>
      <c r="AK142" s="151"/>
      <c r="AL142" s="151"/>
      <c r="AM142" s="151"/>
      <c r="AN142" s="275"/>
      <c r="AO142" s="151"/>
      <c r="AP142" s="151"/>
      <c r="AQ142" s="151"/>
      <c r="AR142" s="151"/>
      <c r="AS142" s="275"/>
      <c r="AT142" s="151"/>
      <c r="AU142" s="151"/>
      <c r="AV142" s="151"/>
      <c r="AW142" s="151"/>
      <c r="AX142" s="151"/>
      <c r="AY142" s="151"/>
      <c r="AZ142" s="151"/>
      <c r="BA142" s="151"/>
      <c r="BB142" s="314"/>
      <c r="BC142" s="314"/>
      <c r="BD142" s="314"/>
      <c r="BE142" s="151"/>
      <c r="BF142" s="151"/>
      <c r="BG142" s="151"/>
      <c r="BH142" s="337"/>
      <c r="BI142" s="151"/>
      <c r="BJ142" s="151"/>
    </row>
    <row r="143" spans="34:62" s="17" customFormat="1" ht="12.75">
      <c r="AH143" s="336"/>
      <c r="AI143" s="287"/>
      <c r="AJ143" s="151"/>
      <c r="AK143" s="151"/>
      <c r="AL143" s="151"/>
      <c r="AM143" s="151"/>
      <c r="AN143" s="275"/>
      <c r="AO143" s="151"/>
      <c r="AP143" s="151"/>
      <c r="AQ143" s="151"/>
      <c r="AR143" s="151"/>
      <c r="AS143" s="275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337"/>
      <c r="BI143" s="151"/>
      <c r="BJ143" s="151"/>
    </row>
    <row r="144" spans="34:62" s="17" customFormat="1" ht="12.75">
      <c r="AH144" s="336"/>
      <c r="AI144" s="287"/>
      <c r="AJ144" s="151"/>
      <c r="AK144" s="151"/>
      <c r="AL144" s="151"/>
      <c r="AM144" s="151"/>
      <c r="AN144" s="275"/>
      <c r="AO144" s="151"/>
      <c r="AP144" s="151"/>
      <c r="AQ144" s="151"/>
      <c r="AR144" s="151"/>
      <c r="AS144" s="275"/>
      <c r="AT144" s="151"/>
      <c r="AU144" s="151"/>
      <c r="AV144" s="151"/>
      <c r="AW144" s="151"/>
      <c r="AX144" s="151"/>
      <c r="AY144" s="151"/>
      <c r="AZ144" s="151"/>
      <c r="BA144" s="151"/>
      <c r="BB144" s="315"/>
      <c r="BC144" s="315"/>
      <c r="BD144" s="315"/>
      <c r="BE144" s="315"/>
      <c r="BF144" s="315"/>
      <c r="BG144" s="315"/>
      <c r="BH144" s="337"/>
      <c r="BI144" s="151"/>
      <c r="BJ144" s="151"/>
    </row>
    <row r="145" spans="34:69" s="17" customFormat="1" ht="12.75">
      <c r="AH145" s="336"/>
      <c r="AI145" s="287"/>
      <c r="AJ145" s="151"/>
      <c r="AK145" s="151"/>
      <c r="AL145" s="151"/>
      <c r="AM145" s="151"/>
      <c r="AN145" s="275"/>
      <c r="AO145" s="151"/>
      <c r="AP145" s="151"/>
      <c r="AQ145" s="151"/>
      <c r="AR145" s="151"/>
      <c r="AS145" s="275"/>
      <c r="AT145" s="151"/>
      <c r="AU145" s="151"/>
      <c r="AV145" s="151"/>
      <c r="AW145" s="151"/>
      <c r="AX145" s="151"/>
      <c r="AY145" s="151"/>
      <c r="AZ145" s="151"/>
      <c r="BA145" s="151"/>
      <c r="BB145" s="315"/>
      <c r="BC145" s="315"/>
      <c r="BD145" s="315"/>
      <c r="BE145" s="315"/>
      <c r="BF145" s="315"/>
      <c r="BG145" s="315"/>
      <c r="BH145" s="337"/>
      <c r="BI145" s="151"/>
      <c r="BJ145" s="151"/>
      <c r="BM145" s="288"/>
      <c r="BN145" s="288"/>
      <c r="BO145" s="288"/>
      <c r="BP145" s="288"/>
      <c r="BQ145" s="288"/>
    </row>
    <row r="146" spans="3:62" s="17" customFormat="1" ht="12.75">
      <c r="C146" s="24" t="s">
        <v>131</v>
      </c>
      <c r="AH146" s="336"/>
      <c r="AI146" s="287"/>
      <c r="AJ146" s="151"/>
      <c r="AK146" s="151"/>
      <c r="AL146" s="151"/>
      <c r="AM146" s="151"/>
      <c r="AN146" s="275"/>
      <c r="AO146" s="151"/>
      <c r="AP146" s="151"/>
      <c r="AQ146" s="151"/>
      <c r="AR146" s="151"/>
      <c r="AS146" s="275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337"/>
      <c r="BI146" s="151"/>
      <c r="BJ146" s="151"/>
    </row>
    <row r="147" spans="4:62" s="17" customFormat="1" ht="12.75">
      <c r="D147" s="24" t="str">
        <f>D72</f>
        <v>FIRMA DEL PROFESIONAL</v>
      </c>
      <c r="AH147" s="254"/>
      <c r="AI147" s="75"/>
      <c r="AJ147" s="75"/>
      <c r="AK147" s="75"/>
      <c r="AL147" s="75"/>
      <c r="AM147" s="75"/>
      <c r="AN147" s="110"/>
      <c r="AO147" s="75"/>
      <c r="AP147" s="75"/>
      <c r="AQ147" s="75"/>
      <c r="AR147" s="75"/>
      <c r="AS147" s="110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255"/>
      <c r="BI147" s="75"/>
      <c r="BJ147" s="151"/>
    </row>
    <row r="148" spans="4:62" s="17" customFormat="1" ht="12.75">
      <c r="D148" s="24" t="str">
        <f>E73</f>
        <v>Nombre :</v>
      </c>
      <c r="I148" s="517" t="str">
        <f>H73</f>
        <v>#</v>
      </c>
      <c r="J148" s="517"/>
      <c r="K148" s="517"/>
      <c r="L148" s="517"/>
      <c r="M148" s="517"/>
      <c r="N148" s="517"/>
      <c r="O148" s="517"/>
      <c r="P148" s="517"/>
      <c r="Q148" s="517"/>
      <c r="R148" s="517"/>
      <c r="S148" s="517"/>
      <c r="T148" s="517"/>
      <c r="U148" s="517"/>
      <c r="V148" s="517"/>
      <c r="W148" s="517"/>
      <c r="AH148" s="336"/>
      <c r="AI148" s="151"/>
      <c r="AJ148" s="151"/>
      <c r="AK148" s="151"/>
      <c r="AL148" s="151"/>
      <c r="AM148" s="151"/>
      <c r="AN148" s="151"/>
      <c r="AO148" s="151"/>
      <c r="AP148" s="151"/>
      <c r="AQ148" s="151"/>
      <c r="AR148" s="151"/>
      <c r="AS148" s="151"/>
      <c r="AT148" s="151"/>
      <c r="AU148" s="151"/>
      <c r="AV148" s="151"/>
      <c r="AW148" s="151"/>
      <c r="AX148" s="151"/>
      <c r="AY148" s="151"/>
      <c r="AZ148" s="151"/>
      <c r="BA148" s="151"/>
      <c r="BB148" s="151"/>
      <c r="BC148" s="151"/>
      <c r="BD148" s="151"/>
      <c r="BE148" s="151"/>
      <c r="BF148" s="151"/>
      <c r="BG148" s="151"/>
      <c r="BH148" s="337"/>
      <c r="BI148" s="151"/>
      <c r="BJ148" s="151"/>
    </row>
    <row r="149" spans="4:60" s="17" customFormat="1" ht="12.75">
      <c r="D149" s="24" t="str">
        <f>E74</f>
        <v>Domicilio:</v>
      </c>
      <c r="I149" s="517" t="str">
        <f>H74</f>
        <v>#</v>
      </c>
      <c r="J149" s="517"/>
      <c r="K149" s="517"/>
      <c r="L149" s="517"/>
      <c r="M149" s="517"/>
      <c r="N149" s="517"/>
      <c r="O149" s="517"/>
      <c r="P149" s="517"/>
      <c r="Q149" s="517"/>
      <c r="R149" s="517"/>
      <c r="S149" s="517"/>
      <c r="T149" s="517"/>
      <c r="U149" s="517"/>
      <c r="V149" s="517"/>
      <c r="W149" s="517"/>
      <c r="AH149" s="336"/>
      <c r="AI149" s="151"/>
      <c r="AJ149" s="151"/>
      <c r="AK149" s="151"/>
      <c r="AL149" s="151"/>
      <c r="AM149" s="151"/>
      <c r="AN149" s="151"/>
      <c r="AO149" s="151"/>
      <c r="AP149" s="151"/>
      <c r="AQ149" s="151"/>
      <c r="AR149" s="151"/>
      <c r="AS149" s="151"/>
      <c r="AT149" s="151"/>
      <c r="AU149" s="151"/>
      <c r="AV149" s="151"/>
      <c r="AW149" s="151"/>
      <c r="AX149" s="151"/>
      <c r="AY149" s="151"/>
      <c r="AZ149" s="151"/>
      <c r="BA149" s="151"/>
      <c r="BB149" s="151"/>
      <c r="BC149" s="151"/>
      <c r="BD149" s="151"/>
      <c r="BE149" s="151"/>
      <c r="BF149" s="151"/>
      <c r="BG149" s="151"/>
      <c r="BH149" s="337"/>
    </row>
    <row r="150" spans="4:60" s="17" customFormat="1" ht="12.75">
      <c r="D150" s="24" t="str">
        <f>E75</f>
        <v>Matricula: </v>
      </c>
      <c r="I150" s="517" t="str">
        <f>H75</f>
        <v>#</v>
      </c>
      <c r="J150" s="517"/>
      <c r="K150" s="517"/>
      <c r="L150" s="517"/>
      <c r="M150" s="517"/>
      <c r="N150" s="517"/>
      <c r="O150" s="517"/>
      <c r="P150" s="517"/>
      <c r="Q150" s="517"/>
      <c r="R150" s="517"/>
      <c r="S150" s="517"/>
      <c r="T150" s="517"/>
      <c r="U150" s="517"/>
      <c r="V150" s="517"/>
      <c r="W150" s="517"/>
      <c r="AH150" s="336"/>
      <c r="AI150" s="151"/>
      <c r="AJ150" s="151"/>
      <c r="AK150" s="151"/>
      <c r="AL150" s="151"/>
      <c r="AM150" s="151"/>
      <c r="AN150" s="151"/>
      <c r="AO150" s="151"/>
      <c r="AP150" s="151"/>
      <c r="AQ150" s="151"/>
      <c r="AR150" s="151"/>
      <c r="AS150" s="151"/>
      <c r="AT150" s="151"/>
      <c r="AU150" s="151"/>
      <c r="AV150" s="151"/>
      <c r="AW150" s="151"/>
      <c r="AX150" s="151"/>
      <c r="AY150" s="151"/>
      <c r="AZ150" s="151"/>
      <c r="BA150" s="151"/>
      <c r="BB150" s="151"/>
      <c r="BC150" s="151"/>
      <c r="BD150" s="151"/>
      <c r="BE150" s="151"/>
      <c r="BF150" s="151"/>
      <c r="BG150" s="151"/>
      <c r="BH150" s="337"/>
    </row>
    <row r="151" spans="34:60" s="17" customFormat="1" ht="12.75">
      <c r="AH151" s="336"/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  <c r="BG151" s="151"/>
      <c r="BH151" s="337"/>
    </row>
    <row r="152" spans="6:60" s="17" customFormat="1" ht="13.5" thickBot="1">
      <c r="F152" s="151"/>
      <c r="H152" s="151"/>
      <c r="I152" s="151"/>
      <c r="J152" s="161"/>
      <c r="K152" s="151"/>
      <c r="L152" s="151"/>
      <c r="P152" s="151"/>
      <c r="Q152" s="164"/>
      <c r="R152" s="151"/>
      <c r="S152" s="151"/>
      <c r="T152" s="151"/>
      <c r="U152" s="151"/>
      <c r="AH152" s="338"/>
      <c r="AI152" s="339"/>
      <c r="AJ152" s="339"/>
      <c r="AK152" s="339"/>
      <c r="AL152" s="339"/>
      <c r="AM152" s="339"/>
      <c r="AN152" s="339"/>
      <c r="AO152" s="339"/>
      <c r="AP152" s="339"/>
      <c r="AQ152" s="339"/>
      <c r="AR152" s="339"/>
      <c r="AS152" s="339"/>
      <c r="AT152" s="339"/>
      <c r="AU152" s="339"/>
      <c r="AV152" s="339"/>
      <c r="AW152" s="339"/>
      <c r="AX152" s="339"/>
      <c r="AY152" s="339"/>
      <c r="AZ152" s="339"/>
      <c r="BA152" s="339"/>
      <c r="BB152" s="339"/>
      <c r="BC152" s="339"/>
      <c r="BD152" s="339"/>
      <c r="BE152" s="339"/>
      <c r="BF152" s="339"/>
      <c r="BG152" s="339"/>
      <c r="BH152" s="340"/>
    </row>
    <row r="153" spans="6:21" s="17" customFormat="1" ht="12.75">
      <c r="F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62"/>
      <c r="R153" s="151"/>
      <c r="S153" s="151"/>
      <c r="T153" s="151"/>
      <c r="U153" s="151"/>
    </row>
    <row r="155" spans="7:17" ht="11.25"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</row>
    <row r="156" spans="7:17" ht="11.25"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</row>
  </sheetData>
  <sheetProtection password="CDDA" sheet="1"/>
  <mergeCells count="121">
    <mergeCell ref="C23:AS23"/>
    <mergeCell ref="AM62:AT63"/>
    <mergeCell ref="AI24:AW24"/>
    <mergeCell ref="AH56:BI56"/>
    <mergeCell ref="H67:Q67"/>
    <mergeCell ref="C66:N66"/>
    <mergeCell ref="AF60:AO60"/>
    <mergeCell ref="Q90:V90"/>
    <mergeCell ref="AC82:AS82"/>
    <mergeCell ref="L84:Z84"/>
    <mergeCell ref="H75:T75"/>
    <mergeCell ref="H73:T73"/>
    <mergeCell ref="I17:K17"/>
    <mergeCell ref="W17:AB17"/>
    <mergeCell ref="I18:K18"/>
    <mergeCell ref="L17:N17"/>
    <mergeCell ref="O17:R17"/>
    <mergeCell ref="L19:BJ19"/>
    <mergeCell ref="I8:S8"/>
    <mergeCell ref="AG132:AO134"/>
    <mergeCell ref="U12:AD12"/>
    <mergeCell ref="AE12:AJ12"/>
    <mergeCell ref="AK12:BD12"/>
    <mergeCell ref="G22:AE22"/>
    <mergeCell ref="S17:V17"/>
    <mergeCell ref="AK17:AN17"/>
    <mergeCell ref="H76:O76"/>
    <mergeCell ref="AO17:AR17"/>
    <mergeCell ref="I149:W149"/>
    <mergeCell ref="I150:W150"/>
    <mergeCell ref="AT84:BJ84"/>
    <mergeCell ref="Y108:AE108"/>
    <mergeCell ref="A130:AA130"/>
    <mergeCell ref="A133:X133"/>
    <mergeCell ref="A139:W139"/>
    <mergeCell ref="F103:H103"/>
    <mergeCell ref="G106:I106"/>
    <mergeCell ref="Y106:AD106"/>
    <mergeCell ref="I148:W148"/>
    <mergeCell ref="C90:E90"/>
    <mergeCell ref="K90:M90"/>
    <mergeCell ref="S137:AA137"/>
    <mergeCell ref="J131:P131"/>
    <mergeCell ref="J134:P134"/>
    <mergeCell ref="Y99:AD99"/>
    <mergeCell ref="L97:S97"/>
    <mergeCell ref="Y113:AD113"/>
    <mergeCell ref="Y126:AE126"/>
    <mergeCell ref="N86:P86"/>
    <mergeCell ref="L98:S98"/>
    <mergeCell ref="Y103:AD103"/>
    <mergeCell ref="Y104:AE104"/>
    <mergeCell ref="Y98:AD98"/>
    <mergeCell ref="AA84:AF84"/>
    <mergeCell ref="Y90:AG90"/>
    <mergeCell ref="W90:X90"/>
    <mergeCell ref="AG84:AS84"/>
    <mergeCell ref="S86:Y86"/>
    <mergeCell ref="AB86:AE86"/>
    <mergeCell ref="S92:T92"/>
    <mergeCell ref="L99:S99"/>
    <mergeCell ref="BB8:BF8"/>
    <mergeCell ref="Z9:AC9"/>
    <mergeCell ref="AS9:BJ9"/>
    <mergeCell ref="AU11:AY11"/>
    <mergeCell ref="AN8:AV8"/>
    <mergeCell ref="AD9:AL9"/>
    <mergeCell ref="AH8:AM8"/>
    <mergeCell ref="AN10:BJ10"/>
    <mergeCell ref="BQ30:BV30"/>
    <mergeCell ref="A22:F22"/>
    <mergeCell ref="A16:Q16"/>
    <mergeCell ref="AS17:AU17"/>
    <mergeCell ref="AC17:AF17"/>
    <mergeCell ref="L18:BJ18"/>
    <mergeCell ref="AW23:BH23"/>
    <mergeCell ref="L20:BJ20"/>
    <mergeCell ref="A17:H17"/>
    <mergeCell ref="AZ17:BJ17"/>
    <mergeCell ref="AI14:BF14"/>
    <mergeCell ref="F15:AB15"/>
    <mergeCell ref="AX16:BK16"/>
    <mergeCell ref="R16:Y16"/>
    <mergeCell ref="AI15:AY15"/>
    <mergeCell ref="AG17:AJ17"/>
    <mergeCell ref="AS16:AW16"/>
    <mergeCell ref="BH14:BJ14"/>
    <mergeCell ref="H74:T74"/>
    <mergeCell ref="AT82:AU82"/>
    <mergeCell ref="AK88:AP88"/>
    <mergeCell ref="I116:K116"/>
    <mergeCell ref="N114:R114"/>
    <mergeCell ref="N115:R115"/>
    <mergeCell ref="N116:R116"/>
    <mergeCell ref="Y112:AD112"/>
    <mergeCell ref="Y107:AD107"/>
    <mergeCell ref="A21:F21"/>
    <mergeCell ref="T8:W8"/>
    <mergeCell ref="X8:AG8"/>
    <mergeCell ref="A9:Y9"/>
    <mergeCell ref="A11:C11"/>
    <mergeCell ref="F10:X10"/>
    <mergeCell ref="C12:T12"/>
    <mergeCell ref="D11:J11"/>
    <mergeCell ref="V11:AI11"/>
    <mergeCell ref="AH16:AR16"/>
    <mergeCell ref="A99:C99"/>
    <mergeCell ref="Y115:AD115"/>
    <mergeCell ref="Y116:AD116"/>
    <mergeCell ref="N122:S122"/>
    <mergeCell ref="Y123:AE123"/>
    <mergeCell ref="N123:S123"/>
    <mergeCell ref="I135:BH135"/>
    <mergeCell ref="AP132:BH134"/>
    <mergeCell ref="Y117:AD117"/>
    <mergeCell ref="I124:K124"/>
    <mergeCell ref="I125:K125"/>
    <mergeCell ref="Y124:AE124"/>
    <mergeCell ref="Y125:AE125"/>
    <mergeCell ref="N124:S124"/>
    <mergeCell ref="N125:S125"/>
  </mergeCells>
  <printOptions/>
  <pageMargins left="1.15" right="0.32" top="0.37" bottom="0.16" header="0.37" footer="0"/>
  <pageSetup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49"/>
  <sheetViews>
    <sheetView zoomScalePageLayoutView="0" workbookViewId="0" topLeftCell="A1">
      <selection activeCell="Q36" sqref="Q36"/>
    </sheetView>
  </sheetViews>
  <sheetFormatPr defaultColWidth="11.421875" defaultRowHeight="12.75"/>
  <cols>
    <col min="1" max="1" width="3.28125" style="395" customWidth="1"/>
    <col min="2" max="2" width="8.00390625" style="395" customWidth="1"/>
    <col min="3" max="3" width="8.140625" style="395" customWidth="1"/>
    <col min="4" max="4" width="8.421875" style="395" customWidth="1"/>
    <col min="5" max="5" width="5.140625" style="395" bestFit="1" customWidth="1"/>
    <col min="6" max="6" width="4.7109375" style="395" customWidth="1"/>
    <col min="7" max="7" width="2.00390625" style="395" customWidth="1"/>
    <col min="8" max="8" width="6.28125" style="395" customWidth="1"/>
    <col min="9" max="10" width="6.421875" style="395" customWidth="1"/>
    <col min="11" max="11" width="8.00390625" style="395" customWidth="1"/>
    <col min="12" max="12" width="3.421875" style="395" customWidth="1"/>
    <col min="13" max="13" width="10.8515625" style="395" customWidth="1"/>
    <col min="14" max="14" width="7.00390625" style="395" customWidth="1"/>
    <col min="15" max="16384" width="11.421875" style="395" customWidth="1"/>
  </cols>
  <sheetData>
    <row r="1" ht="13.5" thickBot="1"/>
    <row r="2" spans="2:15" ht="13.5" thickTop="1">
      <c r="B2" s="396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8"/>
    </row>
    <row r="3" spans="2:15" ht="12.75" customHeight="1">
      <c r="B3" s="399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584" t="s">
        <v>348</v>
      </c>
      <c r="N3" s="584"/>
      <c r="O3" s="585"/>
    </row>
    <row r="4" spans="2:15" ht="12.75" customHeight="1">
      <c r="B4" s="399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584"/>
      <c r="N4" s="584"/>
      <c r="O4" s="585"/>
    </row>
    <row r="5" spans="2:15" ht="12.75">
      <c r="B5" s="399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584"/>
      <c r="N5" s="584"/>
      <c r="O5" s="585"/>
    </row>
    <row r="6" spans="2:15" ht="12.75">
      <c r="B6" s="399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584"/>
      <c r="N6" s="584"/>
      <c r="O6" s="585"/>
    </row>
    <row r="7" spans="2:15" ht="12.75">
      <c r="B7" s="399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1"/>
    </row>
    <row r="8" spans="2:15" ht="13.5" thickBot="1">
      <c r="B8" s="402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4"/>
    </row>
    <row r="9" spans="2:15" ht="13.5" thickTop="1">
      <c r="B9" s="396"/>
      <c r="C9" s="397"/>
      <c r="D9" s="397"/>
      <c r="E9" s="397"/>
      <c r="F9" s="397"/>
      <c r="G9" s="397"/>
      <c r="H9" s="397"/>
      <c r="I9" s="397"/>
      <c r="J9" s="397"/>
      <c r="K9" s="397"/>
      <c r="L9" s="397"/>
      <c r="M9" s="397"/>
      <c r="N9" s="397"/>
      <c r="O9" s="398"/>
    </row>
    <row r="10" spans="2:15" ht="15.75">
      <c r="B10" s="399"/>
      <c r="C10" s="405" t="s">
        <v>349</v>
      </c>
      <c r="D10" s="400"/>
      <c r="E10" s="400"/>
      <c r="F10" s="400"/>
      <c r="G10" s="400"/>
      <c r="H10" s="400"/>
      <c r="I10" s="400"/>
      <c r="J10" s="400"/>
      <c r="K10" s="400"/>
      <c r="L10" s="400"/>
      <c r="M10" s="400"/>
      <c r="N10" s="400"/>
      <c r="O10" s="401"/>
    </row>
    <row r="11" spans="2:15" ht="13.5" thickBot="1">
      <c r="B11" s="399"/>
      <c r="C11" s="400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401"/>
    </row>
    <row r="12" spans="2:15" ht="13.5" thickBot="1">
      <c r="B12" s="399"/>
      <c r="C12" s="406" t="s">
        <v>350</v>
      </c>
      <c r="D12" s="400"/>
      <c r="E12" s="400"/>
      <c r="F12" s="580" t="str">
        <f>'INGRESO DE DATOS'!$F$7</f>
        <v>#</v>
      </c>
      <c r="G12" s="578"/>
      <c r="H12" s="578"/>
      <c r="I12" s="578"/>
      <c r="J12" s="578"/>
      <c r="K12" s="578"/>
      <c r="L12" s="578"/>
      <c r="M12" s="578"/>
      <c r="N12" s="581"/>
      <c r="O12" s="401"/>
    </row>
    <row r="13" spans="2:15" ht="13.5" thickBot="1">
      <c r="B13" s="399"/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1"/>
    </row>
    <row r="14" spans="2:15" ht="13.5" thickBot="1">
      <c r="B14" s="399"/>
      <c r="C14" s="407" t="s">
        <v>351</v>
      </c>
      <c r="D14" s="400"/>
      <c r="E14" s="580" t="str">
        <f>'INGRESO DE DATOS'!$F$8</f>
        <v>#</v>
      </c>
      <c r="F14" s="578"/>
      <c r="G14" s="578"/>
      <c r="H14" s="578"/>
      <c r="I14" s="578"/>
      <c r="J14" s="578"/>
      <c r="K14" s="578"/>
      <c r="L14" s="578"/>
      <c r="M14" s="578"/>
      <c r="N14" s="581"/>
      <c r="O14" s="401"/>
    </row>
    <row r="15" spans="2:15" ht="12.75">
      <c r="B15" s="399"/>
      <c r="C15" s="400"/>
      <c r="D15" s="400"/>
      <c r="E15" s="400"/>
      <c r="F15" s="400"/>
      <c r="G15" s="400"/>
      <c r="H15" s="400"/>
      <c r="I15" s="400"/>
      <c r="J15" s="400"/>
      <c r="K15" s="400"/>
      <c r="L15" s="400"/>
      <c r="M15" s="400"/>
      <c r="N15" s="400"/>
      <c r="O15" s="401"/>
    </row>
    <row r="16" spans="2:15" ht="13.5" thickBot="1">
      <c r="B16" s="399"/>
      <c r="C16" s="408" t="s">
        <v>352</v>
      </c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1"/>
    </row>
    <row r="17" spans="2:15" ht="13.5" thickBot="1">
      <c r="B17" s="399"/>
      <c r="C17" s="409"/>
      <c r="D17" s="410" t="s">
        <v>353</v>
      </c>
      <c r="E17" s="580" t="str">
        <f>'INGRESO DE DATOS'!$F$9</f>
        <v>#</v>
      </c>
      <c r="F17" s="578"/>
      <c r="G17" s="578"/>
      <c r="H17" s="578"/>
      <c r="I17" s="578"/>
      <c r="J17" s="578"/>
      <c r="K17" s="578"/>
      <c r="L17" s="578"/>
      <c r="M17" s="578"/>
      <c r="N17" s="581"/>
      <c r="O17" s="401"/>
    </row>
    <row r="18" spans="2:15" ht="13.5" thickBot="1">
      <c r="B18" s="399"/>
      <c r="C18" s="409"/>
      <c r="D18" s="410" t="s">
        <v>354</v>
      </c>
      <c r="E18" s="411" t="str">
        <f>'INGRESO DE DATOS'!$F$10</f>
        <v>#</v>
      </c>
      <c r="F18" s="409" t="s">
        <v>355</v>
      </c>
      <c r="G18" s="400"/>
      <c r="H18" s="409" t="s">
        <v>356</v>
      </c>
      <c r="I18" s="400"/>
      <c r="J18" s="409" t="s">
        <v>357</v>
      </c>
      <c r="K18" s="582"/>
      <c r="L18" s="582"/>
      <c r="M18" s="409"/>
      <c r="N18" s="409"/>
      <c r="O18" s="401"/>
    </row>
    <row r="19" spans="2:15" ht="13.5" thickBot="1">
      <c r="B19" s="399"/>
      <c r="C19" s="409"/>
      <c r="D19" s="410" t="s">
        <v>358</v>
      </c>
      <c r="E19" s="394"/>
      <c r="F19" s="409" t="s">
        <v>359</v>
      </c>
      <c r="G19" s="394"/>
      <c r="H19" s="409" t="s">
        <v>360</v>
      </c>
      <c r="I19" s="394"/>
      <c r="J19" s="409" t="s">
        <v>361</v>
      </c>
      <c r="K19" s="409"/>
      <c r="L19" s="394"/>
      <c r="M19" s="409"/>
      <c r="N19" s="409"/>
      <c r="O19" s="401"/>
    </row>
    <row r="20" spans="2:18" ht="13.5" thickBot="1">
      <c r="B20" s="399"/>
      <c r="C20" s="409"/>
      <c r="D20" s="410"/>
      <c r="E20" s="409"/>
      <c r="F20" s="409"/>
      <c r="G20" s="409" t="s">
        <v>362</v>
      </c>
      <c r="H20" s="409"/>
      <c r="I20" s="583" t="s">
        <v>363</v>
      </c>
      <c r="J20" s="583"/>
      <c r="K20" s="583"/>
      <c r="L20" s="583"/>
      <c r="M20" s="409"/>
      <c r="N20" s="409"/>
      <c r="O20" s="401"/>
      <c r="R20" s="365"/>
    </row>
    <row r="21" spans="2:15" ht="13.5" thickBot="1">
      <c r="B21" s="399"/>
      <c r="C21" s="409"/>
      <c r="D21" s="410" t="s">
        <v>364</v>
      </c>
      <c r="E21" s="576" t="str">
        <f>'INGRESO DE DATOS'!$F$12</f>
        <v>#</v>
      </c>
      <c r="F21" s="576"/>
      <c r="G21" s="409"/>
      <c r="H21" s="409" t="s">
        <v>365</v>
      </c>
      <c r="I21" s="578" t="str">
        <f>'INGRESO DE DATOS'!$F$13</f>
        <v>#</v>
      </c>
      <c r="J21" s="578"/>
      <c r="K21" s="578"/>
      <c r="L21" s="578"/>
      <c r="M21" s="409"/>
      <c r="N21" s="409"/>
      <c r="O21" s="401"/>
    </row>
    <row r="22" spans="2:15" ht="13.5" thickBot="1">
      <c r="B22" s="399"/>
      <c r="C22" s="409"/>
      <c r="D22" s="410" t="s">
        <v>366</v>
      </c>
      <c r="E22" s="578" t="str">
        <f>'INGRESO DE DATOS'!$F$11</f>
        <v>#</v>
      </c>
      <c r="F22" s="578"/>
      <c r="G22" s="578"/>
      <c r="H22" s="578"/>
      <c r="I22" s="578"/>
      <c r="J22" s="578"/>
      <c r="K22" s="578"/>
      <c r="L22" s="578"/>
      <c r="M22" s="409"/>
      <c r="N22" s="409"/>
      <c r="O22" s="401"/>
    </row>
    <row r="23" spans="2:15" ht="13.5" thickBot="1">
      <c r="B23" s="399"/>
      <c r="C23" s="409"/>
      <c r="D23" s="410" t="s">
        <v>367</v>
      </c>
      <c r="E23" s="412"/>
      <c r="F23" s="413" t="s">
        <v>279</v>
      </c>
      <c r="G23" s="579"/>
      <c r="H23" s="579"/>
      <c r="I23" s="579"/>
      <c r="J23" s="409" t="s">
        <v>368</v>
      </c>
      <c r="K23" s="412"/>
      <c r="L23" s="413" t="s">
        <v>279</v>
      </c>
      <c r="M23" s="570"/>
      <c r="N23" s="571"/>
      <c r="O23" s="401"/>
    </row>
    <row r="24" spans="2:15" ht="13.5" thickBot="1">
      <c r="B24" s="399"/>
      <c r="C24" s="409"/>
      <c r="D24" s="410" t="s">
        <v>369</v>
      </c>
      <c r="E24" s="572"/>
      <c r="F24" s="573"/>
      <c r="G24" s="573"/>
      <c r="H24" s="573"/>
      <c r="I24" s="573"/>
      <c r="J24" s="573"/>
      <c r="K24" s="573"/>
      <c r="L24" s="573"/>
      <c r="M24" s="573"/>
      <c r="N24" s="574"/>
      <c r="O24" s="401"/>
    </row>
    <row r="25" spans="2:15" ht="13.5" thickBot="1">
      <c r="B25" s="399"/>
      <c r="C25" s="409"/>
      <c r="D25" s="410" t="s">
        <v>370</v>
      </c>
      <c r="E25" s="572"/>
      <c r="F25" s="573"/>
      <c r="G25" s="573"/>
      <c r="H25" s="573"/>
      <c r="I25" s="573"/>
      <c r="J25" s="573"/>
      <c r="K25" s="573"/>
      <c r="L25" s="573"/>
      <c r="M25" s="573"/>
      <c r="N25" s="574"/>
      <c r="O25" s="401"/>
    </row>
    <row r="26" spans="2:15" ht="12.75">
      <c r="B26" s="399"/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1"/>
    </row>
    <row r="27" spans="2:15" ht="12.75">
      <c r="B27" s="399"/>
      <c r="C27" s="400"/>
      <c r="D27" s="400"/>
      <c r="E27" s="400"/>
      <c r="F27" s="400"/>
      <c r="G27" s="400"/>
      <c r="H27" s="400"/>
      <c r="I27" s="400"/>
      <c r="J27" s="400"/>
      <c r="K27" s="400"/>
      <c r="L27" s="400"/>
      <c r="M27" s="400"/>
      <c r="N27" s="400"/>
      <c r="O27" s="401"/>
    </row>
    <row r="28" spans="2:15" ht="13.5" thickBot="1">
      <c r="B28" s="399"/>
      <c r="C28" s="408" t="s">
        <v>371</v>
      </c>
      <c r="D28" s="400"/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01"/>
    </row>
    <row r="29" spans="2:15" ht="13.5" thickBot="1">
      <c r="B29" s="399"/>
      <c r="C29" s="409"/>
      <c r="D29" s="410" t="s">
        <v>353</v>
      </c>
      <c r="E29" s="580" t="str">
        <f>'INGRESO DE DATOS'!$F$25</f>
        <v>#</v>
      </c>
      <c r="F29" s="578"/>
      <c r="G29" s="578"/>
      <c r="H29" s="578"/>
      <c r="I29" s="578"/>
      <c r="J29" s="578"/>
      <c r="K29" s="578"/>
      <c r="L29" s="578"/>
      <c r="M29" s="578"/>
      <c r="N29" s="581"/>
      <c r="O29" s="401"/>
    </row>
    <row r="30" spans="2:15" ht="13.5" thickBot="1">
      <c r="B30" s="399"/>
      <c r="C30" s="409"/>
      <c r="D30" s="410" t="s">
        <v>354</v>
      </c>
      <c r="E30" s="411" t="str">
        <f>'INGRESO DE DATOS'!$F$26</f>
        <v>#</v>
      </c>
      <c r="F30" s="409" t="s">
        <v>355</v>
      </c>
      <c r="G30" s="400"/>
      <c r="H30" s="409" t="s">
        <v>356</v>
      </c>
      <c r="I30" s="400"/>
      <c r="J30" s="409" t="s">
        <v>357</v>
      </c>
      <c r="K30" s="582"/>
      <c r="L30" s="582"/>
      <c r="M30" s="409"/>
      <c r="N30" s="409"/>
      <c r="O30" s="401"/>
    </row>
    <row r="31" spans="2:15" ht="13.5" thickBot="1">
      <c r="B31" s="399"/>
      <c r="C31" s="409"/>
      <c r="D31" s="410" t="s">
        <v>358</v>
      </c>
      <c r="E31" s="412"/>
      <c r="F31" s="409" t="s">
        <v>359</v>
      </c>
      <c r="G31" s="412"/>
      <c r="H31" s="409" t="s">
        <v>360</v>
      </c>
      <c r="I31" s="414" t="str">
        <f>'INGRESO DE DATOS'!$F$35</f>
        <v>#</v>
      </c>
      <c r="J31" s="409" t="s">
        <v>361</v>
      </c>
      <c r="K31" s="409"/>
      <c r="L31" s="414" t="str">
        <f>'INGRESO DE DATOS'!$F$33</f>
        <v>#</v>
      </c>
      <c r="M31" s="409"/>
      <c r="N31" s="409"/>
      <c r="O31" s="401"/>
    </row>
    <row r="32" spans="2:15" ht="13.5" thickBot="1">
      <c r="B32" s="399"/>
      <c r="C32" s="409"/>
      <c r="D32" s="410"/>
      <c r="E32" s="409"/>
      <c r="F32" s="409"/>
      <c r="G32" s="409" t="s">
        <v>362</v>
      </c>
      <c r="H32" s="409"/>
      <c r="I32" s="579" t="str">
        <f>I20</f>
        <v>BS. AS.</v>
      </c>
      <c r="J32" s="579"/>
      <c r="K32" s="579"/>
      <c r="L32" s="579"/>
      <c r="M32" s="409"/>
      <c r="N32" s="409"/>
      <c r="O32" s="401"/>
    </row>
    <row r="33" spans="2:15" ht="13.5" thickBot="1">
      <c r="B33" s="399"/>
      <c r="C33" s="409"/>
      <c r="D33" s="410" t="s">
        <v>364</v>
      </c>
      <c r="E33" s="576" t="str">
        <f>'INGRESO DE DATOS'!$F$28</f>
        <v>#</v>
      </c>
      <c r="F33" s="576"/>
      <c r="G33" s="409"/>
      <c r="H33" s="409" t="s">
        <v>365</v>
      </c>
      <c r="I33" s="577" t="str">
        <f>'INGRESO DE DATOS'!$F$29</f>
        <v>#</v>
      </c>
      <c r="J33" s="577"/>
      <c r="K33" s="577"/>
      <c r="L33" s="577"/>
      <c r="M33" s="409"/>
      <c r="N33" s="409"/>
      <c r="O33" s="401"/>
    </row>
    <row r="34" spans="2:15" ht="13.5" thickBot="1">
      <c r="B34" s="399"/>
      <c r="C34" s="409"/>
      <c r="D34" s="410" t="s">
        <v>366</v>
      </c>
      <c r="E34" s="578" t="str">
        <f>'INGRESO DE DATOS'!$F$27</f>
        <v>#</v>
      </c>
      <c r="F34" s="578"/>
      <c r="G34" s="578"/>
      <c r="H34" s="578"/>
      <c r="I34" s="578"/>
      <c r="J34" s="578"/>
      <c r="K34" s="578"/>
      <c r="L34" s="578"/>
      <c r="M34" s="409"/>
      <c r="N34" s="409"/>
      <c r="O34" s="401"/>
    </row>
    <row r="35" spans="2:15" ht="13.5" thickBot="1">
      <c r="B35" s="399"/>
      <c r="C35" s="409"/>
      <c r="D35" s="410" t="s">
        <v>367</v>
      </c>
      <c r="E35" s="412"/>
      <c r="F35" s="413" t="s">
        <v>279</v>
      </c>
      <c r="G35" s="579"/>
      <c r="H35" s="579"/>
      <c r="I35" s="579"/>
      <c r="J35" s="409" t="s">
        <v>368</v>
      </c>
      <c r="K35" s="412"/>
      <c r="L35" s="413" t="s">
        <v>279</v>
      </c>
      <c r="M35" s="570"/>
      <c r="N35" s="571"/>
      <c r="O35" s="401"/>
    </row>
    <row r="36" spans="2:15" ht="13.5" thickBot="1">
      <c r="B36" s="399"/>
      <c r="C36" s="409"/>
      <c r="D36" s="410" t="s">
        <v>369</v>
      </c>
      <c r="E36" s="572"/>
      <c r="F36" s="573"/>
      <c r="G36" s="573"/>
      <c r="H36" s="573"/>
      <c r="I36" s="573"/>
      <c r="J36" s="573"/>
      <c r="K36" s="573"/>
      <c r="L36" s="573"/>
      <c r="M36" s="573"/>
      <c r="N36" s="574"/>
      <c r="O36" s="401"/>
    </row>
    <row r="37" spans="2:15" ht="13.5" thickBot="1">
      <c r="B37" s="399"/>
      <c r="C37" s="409"/>
      <c r="D37" s="410" t="s">
        <v>370</v>
      </c>
      <c r="E37" s="572">
        <f>$E$25</f>
        <v>0</v>
      </c>
      <c r="F37" s="573"/>
      <c r="G37" s="573"/>
      <c r="H37" s="573"/>
      <c r="I37" s="573"/>
      <c r="J37" s="573"/>
      <c r="K37" s="573"/>
      <c r="L37" s="573"/>
      <c r="M37" s="573"/>
      <c r="N37" s="574"/>
      <c r="O37" s="401"/>
    </row>
    <row r="38" spans="2:15" ht="12.75">
      <c r="B38" s="399"/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1"/>
    </row>
    <row r="39" spans="2:15" ht="14.25">
      <c r="B39" s="399"/>
      <c r="C39" s="415" t="s">
        <v>372</v>
      </c>
      <c r="D39" s="416"/>
      <c r="E39" s="575" t="str">
        <f>'INGRESO DE DATOS'!$F$15</f>
        <v>#</v>
      </c>
      <c r="F39" s="575"/>
      <c r="G39" s="575"/>
      <c r="H39" s="575"/>
      <c r="I39" s="575"/>
      <c r="J39" s="575"/>
      <c r="K39" s="416" t="s">
        <v>373</v>
      </c>
      <c r="L39" s="416"/>
      <c r="M39" s="417"/>
      <c r="N39" s="418"/>
      <c r="O39" s="401"/>
    </row>
    <row r="40" spans="2:15" ht="14.25">
      <c r="B40" s="399"/>
      <c r="C40" s="565" t="str">
        <f>'INGRESO DE DATOS'!$F$16</f>
        <v>#</v>
      </c>
      <c r="D40" s="566"/>
      <c r="E40" s="560" t="s">
        <v>374</v>
      </c>
      <c r="F40" s="560"/>
      <c r="G40" s="560"/>
      <c r="H40" s="560"/>
      <c r="I40" s="567" t="s">
        <v>375</v>
      </c>
      <c r="J40" s="567"/>
      <c r="K40" s="568" t="s">
        <v>376</v>
      </c>
      <c r="L40" s="569"/>
      <c r="M40" s="419"/>
      <c r="N40" s="420"/>
      <c r="O40" s="401"/>
    </row>
    <row r="41" spans="2:15" ht="14.25">
      <c r="B41" s="399"/>
      <c r="C41" s="559" t="s">
        <v>377</v>
      </c>
      <c r="D41" s="560"/>
      <c r="E41" s="560"/>
      <c r="F41" s="560"/>
      <c r="G41" s="560"/>
      <c r="H41" s="560"/>
      <c r="I41" s="560"/>
      <c r="J41" s="560"/>
      <c r="K41" s="560"/>
      <c r="L41" s="561"/>
      <c r="M41" s="419"/>
      <c r="N41" s="420"/>
      <c r="O41" s="401"/>
    </row>
    <row r="42" spans="2:15" ht="14.25">
      <c r="B42" s="399"/>
      <c r="C42" s="562" t="s">
        <v>378</v>
      </c>
      <c r="D42" s="563"/>
      <c r="E42" s="563"/>
      <c r="F42" s="563"/>
      <c r="G42" s="563"/>
      <c r="H42" s="563"/>
      <c r="I42" s="563"/>
      <c r="J42" s="563"/>
      <c r="K42" s="563"/>
      <c r="L42" s="564"/>
      <c r="M42" s="419"/>
      <c r="N42" s="420"/>
      <c r="O42" s="401"/>
    </row>
    <row r="43" spans="2:15" ht="14.25">
      <c r="B43" s="399"/>
      <c r="C43" s="562" t="s">
        <v>379</v>
      </c>
      <c r="D43" s="563"/>
      <c r="E43" s="563"/>
      <c r="F43" s="563"/>
      <c r="G43" s="563"/>
      <c r="H43" s="563"/>
      <c r="I43" s="563"/>
      <c r="J43" s="563"/>
      <c r="K43" s="563"/>
      <c r="L43" s="564"/>
      <c r="M43" s="419"/>
      <c r="N43" s="420"/>
      <c r="O43" s="401"/>
    </row>
    <row r="44" spans="2:15" ht="14.25">
      <c r="B44" s="399"/>
      <c r="C44" s="559" t="s">
        <v>380</v>
      </c>
      <c r="D44" s="560"/>
      <c r="E44" s="560"/>
      <c r="F44" s="560"/>
      <c r="G44" s="560"/>
      <c r="H44" s="560"/>
      <c r="I44" s="560"/>
      <c r="J44" s="560"/>
      <c r="K44" s="560"/>
      <c r="L44" s="561"/>
      <c r="M44" s="419"/>
      <c r="N44" s="420"/>
      <c r="O44" s="401"/>
    </row>
    <row r="45" spans="2:15" ht="14.25">
      <c r="B45" s="399"/>
      <c r="C45" s="421"/>
      <c r="D45" s="422"/>
      <c r="E45" s="422"/>
      <c r="F45" s="422"/>
      <c r="G45" s="422"/>
      <c r="H45" s="422"/>
      <c r="I45" s="422"/>
      <c r="J45" s="422"/>
      <c r="K45" s="422"/>
      <c r="L45" s="422"/>
      <c r="M45" s="423"/>
      <c r="N45" s="424" t="s">
        <v>381</v>
      </c>
      <c r="O45" s="401"/>
    </row>
    <row r="46" spans="2:15" ht="12.75">
      <c r="B46" s="399"/>
      <c r="C46" s="400"/>
      <c r="D46" s="400"/>
      <c r="E46" s="400"/>
      <c r="F46" s="400"/>
      <c r="G46" s="400"/>
      <c r="H46" s="400"/>
      <c r="I46" s="400"/>
      <c r="J46" s="400"/>
      <c r="K46" s="400"/>
      <c r="L46" s="400"/>
      <c r="M46" s="400"/>
      <c r="N46" s="400"/>
      <c r="O46" s="401"/>
    </row>
    <row r="47" spans="2:15" ht="12.75">
      <c r="B47" s="399"/>
      <c r="C47" s="400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1"/>
    </row>
    <row r="48" spans="2:15" ht="13.5" thickBot="1">
      <c r="B48" s="402"/>
      <c r="C48" s="403"/>
      <c r="D48" s="403"/>
      <c r="E48" s="557" t="s">
        <v>382</v>
      </c>
      <c r="F48" s="557"/>
      <c r="G48" s="557"/>
      <c r="H48" s="557"/>
      <c r="I48" s="557"/>
      <c r="J48" s="557"/>
      <c r="K48" s="557"/>
      <c r="L48" s="557"/>
      <c r="M48" s="557"/>
      <c r="N48" s="557"/>
      <c r="O48" s="558"/>
    </row>
    <row r="49" ht="13.5" thickTop="1">
      <c r="B49" s="425"/>
    </row>
  </sheetData>
  <sheetProtection password="CDDA" sheet="1" objects="1" scenarios="1"/>
  <mergeCells count="33">
    <mergeCell ref="K18:L18"/>
    <mergeCell ref="I20:L20"/>
    <mergeCell ref="E21:F21"/>
    <mergeCell ref="I21:L21"/>
    <mergeCell ref="M3:O6"/>
    <mergeCell ref="F12:N12"/>
    <mergeCell ref="E14:N14"/>
    <mergeCell ref="E17:N17"/>
    <mergeCell ref="E25:N25"/>
    <mergeCell ref="E29:N29"/>
    <mergeCell ref="K30:L30"/>
    <mergeCell ref="I32:L32"/>
    <mergeCell ref="E22:L22"/>
    <mergeCell ref="G23:I23"/>
    <mergeCell ref="M23:N23"/>
    <mergeCell ref="E24:N24"/>
    <mergeCell ref="M35:N35"/>
    <mergeCell ref="E36:N36"/>
    <mergeCell ref="E37:N37"/>
    <mergeCell ref="E39:J39"/>
    <mergeCell ref="E33:F33"/>
    <mergeCell ref="I33:L33"/>
    <mergeCell ref="E34:L34"/>
    <mergeCell ref="G35:I35"/>
    <mergeCell ref="E48:O48"/>
    <mergeCell ref="C41:L41"/>
    <mergeCell ref="C42:L42"/>
    <mergeCell ref="C43:L43"/>
    <mergeCell ref="C44:L44"/>
    <mergeCell ref="C40:D40"/>
    <mergeCell ref="E40:H40"/>
    <mergeCell ref="I40:J40"/>
    <mergeCell ref="K40:L40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1:AC120"/>
  <sheetViews>
    <sheetView zoomScale="115" zoomScaleNormal="115" zoomScalePageLayoutView="0" workbookViewId="0" topLeftCell="A1">
      <selection activeCell="H1" sqref="H1:AD16384"/>
    </sheetView>
  </sheetViews>
  <sheetFormatPr defaultColWidth="11.421875" defaultRowHeight="12.75"/>
  <cols>
    <col min="1" max="1" width="14.421875" style="24" customWidth="1"/>
    <col min="2" max="2" width="9.8515625" style="24" customWidth="1"/>
    <col min="3" max="3" width="7.57421875" style="24" customWidth="1"/>
    <col min="4" max="4" width="10.57421875" style="24" customWidth="1"/>
    <col min="5" max="6" width="12.7109375" style="24" customWidth="1"/>
    <col min="7" max="7" width="7.57421875" style="24" customWidth="1"/>
    <col min="8" max="8" width="11.8515625" style="30" hidden="1" customWidth="1"/>
    <col min="9" max="9" width="12.00390625" style="24" hidden="1" customWidth="1"/>
    <col min="10" max="11" width="11.421875" style="24" hidden="1" customWidth="1"/>
    <col min="12" max="12" width="13.28125" style="24" hidden="1" customWidth="1"/>
    <col min="13" max="13" width="2.8515625" style="24" hidden="1" customWidth="1"/>
    <col min="14" max="14" width="13.7109375" style="24" hidden="1" customWidth="1"/>
    <col min="15" max="15" width="17.7109375" style="24" hidden="1" customWidth="1"/>
    <col min="16" max="18" width="11.421875" style="30" hidden="1" customWidth="1"/>
    <col min="19" max="19" width="9.140625" style="24" hidden="1" customWidth="1"/>
    <col min="20" max="21" width="11.421875" style="30" hidden="1" customWidth="1"/>
    <col min="22" max="22" width="11.421875" style="24" hidden="1" customWidth="1"/>
    <col min="23" max="23" width="3.57421875" style="24" hidden="1" customWidth="1"/>
    <col min="24" max="24" width="8.00390625" style="30" hidden="1" customWidth="1"/>
    <col min="25" max="25" width="11.421875" style="30" hidden="1" customWidth="1"/>
    <col min="26" max="26" width="8.421875" style="30" hidden="1" customWidth="1"/>
    <col min="27" max="30" width="0" style="24" hidden="1" customWidth="1"/>
    <col min="31" max="16384" width="11.421875" style="24" customWidth="1"/>
  </cols>
  <sheetData>
    <row r="1" spans="2:24" ht="11.25" customHeight="1">
      <c r="B1" s="25" t="s">
        <v>63</v>
      </c>
      <c r="H1" s="169"/>
      <c r="I1" s="168"/>
      <c r="J1" s="185"/>
      <c r="K1" s="185"/>
      <c r="L1" s="185"/>
      <c r="M1" s="185"/>
      <c r="N1" s="185"/>
      <c r="O1" s="168"/>
      <c r="P1" s="168"/>
      <c r="Q1" s="168"/>
      <c r="R1" s="168"/>
      <c r="S1" s="169"/>
      <c r="T1" s="169"/>
      <c r="U1" s="169"/>
      <c r="V1" s="168"/>
      <c r="W1" s="168"/>
      <c r="X1" s="169"/>
    </row>
    <row r="2" spans="2:21" ht="15.75" customHeight="1">
      <c r="B2" s="25"/>
      <c r="H2" s="77"/>
      <c r="I2" s="75"/>
      <c r="J2" s="75"/>
      <c r="K2" s="184" t="str">
        <f>'INGRESO DE DATOS'!G81</f>
        <v>cat.</v>
      </c>
      <c r="L2" s="182">
        <f>'INGRESO DE DATOS'!H81</f>
        <v>3</v>
      </c>
      <c r="M2" s="145"/>
      <c r="N2" s="145"/>
      <c r="O2" s="87"/>
      <c r="P2" s="24"/>
      <c r="Q2" s="24"/>
      <c r="R2" s="24"/>
      <c r="S2" s="30"/>
      <c r="U2" s="111"/>
    </row>
    <row r="3" spans="1:21" ht="9.75" customHeight="1">
      <c r="A3" s="36"/>
      <c r="F3" s="28"/>
      <c r="H3" s="186"/>
      <c r="I3" s="79"/>
      <c r="J3" s="75"/>
      <c r="O3" s="77"/>
      <c r="P3" s="24"/>
      <c r="Q3" s="24"/>
      <c r="R3" s="24"/>
      <c r="S3" s="30"/>
      <c r="U3" s="111"/>
    </row>
    <row r="4" spans="1:25" ht="17.25" customHeight="1">
      <c r="A4" s="25" t="s">
        <v>91</v>
      </c>
      <c r="H4" s="77"/>
      <c r="I4" s="75"/>
      <c r="J4" s="75"/>
      <c r="K4" s="177">
        <f>IF(AND(F6&gt;0,F6&lt;=T6),6,IF(AND(F6&gt;T6,F6&lt;=T7),5.5,IF(AND(F6&gt;S7,F6&lt;=T8),5,IF(AND(F6&gt;S8,F6&lt;=T9),4.5,IF(AND(F6&gt;S9,F6&lt;=T10),4,IF(AND(F6&gt;T10),3.5,0))))))</f>
        <v>0</v>
      </c>
      <c r="L4" s="176">
        <f>IF(AND(F6&gt;0,F6&lt;=T6),7,IF(AND(F6&gt;T6,F6&lt;=T7),6.5,IF(AND(F6&gt;S7,F6&lt;=T8),6,IF(AND(F6&gt;S8,F6&lt;=T9),5.5,IF(AND(F6&gt;S9,F6&lt;=T10),5,IF(AND(F6&gt;T10),4.5,0))))))</f>
        <v>0</v>
      </c>
      <c r="O4" s="81"/>
      <c r="P4" s="24"/>
      <c r="Q4" s="24"/>
      <c r="R4" s="24"/>
      <c r="S4" s="30" t="s">
        <v>137</v>
      </c>
      <c r="T4" s="30" t="s">
        <v>138</v>
      </c>
      <c r="U4" s="111" t="s">
        <v>138</v>
      </c>
      <c r="V4" s="30" t="s">
        <v>138</v>
      </c>
      <c r="Y4" s="169"/>
    </row>
    <row r="5" spans="1:26" ht="9.75" customHeight="1">
      <c r="A5" s="24" t="s">
        <v>64</v>
      </c>
      <c r="P5" s="24"/>
      <c r="Q5" s="24"/>
      <c r="R5" s="24"/>
      <c r="S5" s="30"/>
      <c r="U5" s="174">
        <v>0.06</v>
      </c>
      <c r="V5" s="138">
        <v>0.07</v>
      </c>
      <c r="Y5" s="269"/>
      <c r="Z5" s="174"/>
    </row>
    <row r="6" spans="1:26" ht="12" customHeight="1">
      <c r="A6" s="24" t="s">
        <v>65</v>
      </c>
      <c r="E6" s="30"/>
      <c r="F6" s="38">
        <f>'INGRESO DE DATOS'!$E$74</f>
        <v>0</v>
      </c>
      <c r="G6" s="30" t="s">
        <v>11</v>
      </c>
      <c r="O6" s="105">
        <f>+IF(F25&gt;0,F25,F6)</f>
        <v>0</v>
      </c>
      <c r="P6" s="30" t="s">
        <v>8</v>
      </c>
      <c r="Q6" s="24"/>
      <c r="R6" s="29" t="s">
        <v>126</v>
      </c>
      <c r="S6" s="382">
        <v>850000</v>
      </c>
      <c r="T6" s="30">
        <f>S6</f>
        <v>850000</v>
      </c>
      <c r="U6" s="30">
        <f>S6*0.06</f>
        <v>51000</v>
      </c>
      <c r="V6" s="30">
        <f>S6*0.07</f>
        <v>59500.00000000001</v>
      </c>
      <c r="W6" s="29"/>
      <c r="Y6" s="169"/>
      <c r="Z6" s="111"/>
    </row>
    <row r="7" spans="1:26" ht="12" customHeight="1">
      <c r="A7" s="24" t="s">
        <v>9</v>
      </c>
      <c r="D7" s="29"/>
      <c r="E7" s="37"/>
      <c r="F7" s="47">
        <f>IF(F6&lt;=0,0,IF(AND(F6&gt;0,F6&lt;=S6),F6,IF(AND(F6&gt;S6,F6&lt;=S8),S6,IF(AND(F6&gt;S8,F6&lt;=T8),S8,IF(AND(F6&gt;T8,F6&lt;=T9),T8,IF(AND(F6&gt;T9,F6&lt;=T10),T9,IF(F6&gt;S10,T10)))))))</f>
        <v>0</v>
      </c>
      <c r="G7" s="30" t="s">
        <v>66</v>
      </c>
      <c r="H7" s="103">
        <f>IF(L2=5,L7,K7)</f>
        <v>0</v>
      </c>
      <c r="J7" s="32"/>
      <c r="K7" s="38">
        <f>IF(AND(F6&gt;0,F6&lt;=T6),F6*0.06,IF(AND(F6&gt;T6,F6&lt;=T7),U6,IF(AND(F6&gt;T7,F6&lt;=T8),U7,IF(AND(F6&gt;T8,F6&lt;=T9),U8,IF(AND(F6&gt;T9,F6&lt;=T10),U9,IF(AND(F6&gt;T10),U10,0))))))</f>
        <v>0</v>
      </c>
      <c r="L7" s="38">
        <f>IF(AND(F6&gt;0,F6&lt;=T6),F6*0.07,IF(AND(F6&gt;T6,F6&lt;=T7),V6,IF(AND(F6&gt;T7,F6&lt;=T8),V7,IF(AND(F6&gt;T8,F6&lt;=T9),V8,IF(AND(F6&gt;T9,F6&lt;=T10),V9,IF(AND(F6&gt;T10),V10,0))))))</f>
        <v>0</v>
      </c>
      <c r="O7" s="47">
        <f>+IF(F25&gt;0,H26,H7)</f>
        <v>0</v>
      </c>
      <c r="P7" s="46" t="s">
        <v>66</v>
      </c>
      <c r="Q7" s="24"/>
      <c r="R7" s="24"/>
      <c r="S7" s="382">
        <v>3400000</v>
      </c>
      <c r="T7" s="30">
        <f>T6+S7</f>
        <v>4250000</v>
      </c>
      <c r="U7" s="30">
        <f>S6*0.06+S7*0.055</f>
        <v>238000</v>
      </c>
      <c r="V7" s="30">
        <f>S6*0.07+S7*0.065</f>
        <v>280500</v>
      </c>
      <c r="Y7" s="169"/>
      <c r="Z7" s="111"/>
    </row>
    <row r="8" spans="1:26" ht="12" customHeight="1">
      <c r="A8" s="24" t="s">
        <v>67</v>
      </c>
      <c r="D8" s="29" t="s">
        <v>26</v>
      </c>
      <c r="E8" s="175">
        <f>IF(L2=5,L4,K4)</f>
        <v>0</v>
      </c>
      <c r="F8" s="47">
        <f>IF(F6&gt;=0,F6-F7)</f>
        <v>0</v>
      </c>
      <c r="G8" s="30" t="s">
        <v>66</v>
      </c>
      <c r="H8" s="103">
        <f>IF(L2=5,L8,K8)</f>
        <v>0</v>
      </c>
      <c r="K8" s="38">
        <f>+(K4/100)*F8</f>
        <v>0</v>
      </c>
      <c r="L8" s="38">
        <f>(L4/100)*F8</f>
        <v>0</v>
      </c>
      <c r="O8" s="47">
        <f>+IF(F25&gt;0,H27,H8)</f>
        <v>0</v>
      </c>
      <c r="P8" s="46" t="s">
        <v>66</v>
      </c>
      <c r="Q8" s="24"/>
      <c r="R8" s="24"/>
      <c r="S8" s="382">
        <v>4250000</v>
      </c>
      <c r="T8" s="30">
        <f>T7+S8</f>
        <v>8500000</v>
      </c>
      <c r="U8" s="30">
        <f>S6*0.06+S7*0.055+S8*0.05</f>
        <v>450500</v>
      </c>
      <c r="V8" s="30">
        <f>S6*0.07+S7*0.065+S8*0.06</f>
        <v>535500</v>
      </c>
      <c r="Y8" s="169"/>
      <c r="Z8" s="111"/>
    </row>
    <row r="9" spans="4:26" ht="15.75" customHeight="1">
      <c r="D9" s="29"/>
      <c r="E9" s="37"/>
      <c r="F9" s="38"/>
      <c r="G9" s="30"/>
      <c r="K9" s="38"/>
      <c r="L9" s="38"/>
      <c r="O9" s="47">
        <f>+O7+O8</f>
        <v>0</v>
      </c>
      <c r="P9" s="590" t="s">
        <v>117</v>
      </c>
      <c r="Q9" s="590"/>
      <c r="R9" s="24"/>
      <c r="S9" s="382">
        <v>17000000</v>
      </c>
      <c r="T9" s="30">
        <f>T8+S9</f>
        <v>25500000</v>
      </c>
      <c r="U9" s="30">
        <f>S6*0.06+S7*0.055+S8*0.05+S9*0.045</f>
        <v>1215500</v>
      </c>
      <c r="V9" s="30">
        <f>S6*0.07+S7*0.065+S8*0.06+S9*0.055</f>
        <v>1470500</v>
      </c>
      <c r="Y9" s="169"/>
      <c r="Z9" s="111"/>
    </row>
    <row r="10" spans="4:26" ht="17.25" customHeight="1">
      <c r="D10" s="29"/>
      <c r="E10" s="37"/>
      <c r="F10" s="28" t="s">
        <v>68</v>
      </c>
      <c r="G10" s="30" t="s">
        <v>66</v>
      </c>
      <c r="H10" s="103">
        <f>IF(L2=5,L10,K10)</f>
        <v>0</v>
      </c>
      <c r="K10" s="119">
        <f>+K7+K8</f>
        <v>0</v>
      </c>
      <c r="L10" s="119">
        <f>+L7+L8</f>
        <v>0</v>
      </c>
      <c r="O10" s="105">
        <f>+IF(F25&gt;0,F26,F7)</f>
        <v>0</v>
      </c>
      <c r="P10" s="30" t="s">
        <v>9</v>
      </c>
      <c r="Q10" s="24"/>
      <c r="R10" s="24"/>
      <c r="S10" s="382">
        <v>59500000</v>
      </c>
      <c r="T10" s="30">
        <f>T9+S10</f>
        <v>85000000</v>
      </c>
      <c r="U10" s="30">
        <f>S6*0.06+S7*0.055+S8*0.05+S9*0.045+S10*0.04</f>
        <v>3595500</v>
      </c>
      <c r="V10" s="30">
        <f>S6*0.07+S7*0.065+S8*0.06+S9*0.055+S10*0.05</f>
        <v>4445500</v>
      </c>
      <c r="Y10" s="270"/>
      <c r="Z10" s="111"/>
    </row>
    <row r="11" spans="1:26" ht="12" customHeight="1">
      <c r="A11" s="25" t="s">
        <v>92</v>
      </c>
      <c r="O11" s="47">
        <f>+IF(F25&gt;0,F27,F8)</f>
        <v>0</v>
      </c>
      <c r="P11" s="46" t="s">
        <v>113</v>
      </c>
      <c r="Q11" s="24"/>
      <c r="R11" s="24"/>
      <c r="U11" s="111"/>
      <c r="V11" s="30"/>
      <c r="Y11" s="111"/>
      <c r="Z11" s="111"/>
    </row>
    <row r="12" spans="1:26" ht="12" customHeight="1">
      <c r="A12" s="74"/>
      <c r="B12" s="75"/>
      <c r="C12" s="75"/>
      <c r="D12" s="75"/>
      <c r="E12" s="75"/>
      <c r="F12" s="75"/>
      <c r="G12" s="75"/>
      <c r="K12" s="75"/>
      <c r="L12" s="75"/>
      <c r="P12" s="46"/>
      <c r="Q12" s="24"/>
      <c r="R12" s="24"/>
      <c r="U12" s="111"/>
      <c r="Y12" s="111"/>
      <c r="Z12" s="111"/>
    </row>
    <row r="13" spans="1:26" ht="15.75">
      <c r="A13" s="75" t="s">
        <v>102</v>
      </c>
      <c r="B13" s="74"/>
      <c r="C13" s="76">
        <v>0.5</v>
      </c>
      <c r="D13" s="77" t="s">
        <v>74</v>
      </c>
      <c r="E13" s="175">
        <f>IF(L2=5,L10,K10)</f>
        <v>0</v>
      </c>
      <c r="F13" s="75"/>
      <c r="G13" s="77" t="s">
        <v>66</v>
      </c>
      <c r="H13" s="262">
        <f>IF(L2=3,K13,L13)</f>
        <v>0</v>
      </c>
      <c r="K13" s="139">
        <f>(K10/100)*50</f>
        <v>0</v>
      </c>
      <c r="L13" s="139">
        <f>(L10/100)*50</f>
        <v>0</v>
      </c>
      <c r="O13" s="105">
        <f>+IF(F25&gt;0,H30,H13)</f>
        <v>0</v>
      </c>
      <c r="P13" s="46" t="s">
        <v>115</v>
      </c>
      <c r="Q13" s="24"/>
      <c r="R13" s="24"/>
      <c r="U13" s="111"/>
      <c r="Z13" s="111"/>
    </row>
    <row r="14" spans="1:26" ht="11.25">
      <c r="A14" s="75"/>
      <c r="B14" s="75"/>
      <c r="C14" s="75"/>
      <c r="D14" s="75"/>
      <c r="E14" s="80" t="s">
        <v>11</v>
      </c>
      <c r="F14" s="79" t="s">
        <v>11</v>
      </c>
      <c r="G14" s="77" t="s">
        <v>66</v>
      </c>
      <c r="H14" s="28"/>
      <c r="K14" s="178"/>
      <c r="L14" s="178"/>
      <c r="O14" s="24">
        <f>+IF(F25&gt;0,E27,E8)</f>
        <v>0</v>
      </c>
      <c r="P14" s="39" t="s">
        <v>26</v>
      </c>
      <c r="Q14" s="24"/>
      <c r="R14" s="24"/>
      <c r="S14" s="30"/>
      <c r="U14" s="111"/>
      <c r="V14" s="30"/>
      <c r="Y14" s="111"/>
      <c r="Z14" s="111"/>
    </row>
    <row r="15" spans="1:26" ht="15.75">
      <c r="A15" s="75" t="s">
        <v>75</v>
      </c>
      <c r="B15" s="74"/>
      <c r="C15" s="76">
        <v>0.3</v>
      </c>
      <c r="D15" s="77" t="s">
        <v>74</v>
      </c>
      <c r="E15" s="175">
        <f>IF(L2=5,L10,K10)</f>
        <v>0</v>
      </c>
      <c r="F15" s="75"/>
      <c r="G15" s="77" t="s">
        <v>66</v>
      </c>
      <c r="H15" s="262">
        <f>IF(L2=3,K15,L15)</f>
        <v>0</v>
      </c>
      <c r="K15" s="139">
        <f>(K10/100)*30</f>
        <v>0</v>
      </c>
      <c r="L15" s="139">
        <f>(L10/100)*30</f>
        <v>0</v>
      </c>
      <c r="O15" s="105">
        <f>+IF(F25&gt;0,0,O9*0.4)</f>
        <v>0</v>
      </c>
      <c r="P15" s="120" t="s">
        <v>116</v>
      </c>
      <c r="Q15" s="24"/>
      <c r="R15" s="24"/>
      <c r="S15" s="85"/>
      <c r="U15" s="111"/>
      <c r="Z15" s="111"/>
    </row>
    <row r="16" spans="1:26" ht="12" customHeight="1">
      <c r="A16" s="75"/>
      <c r="B16" s="74"/>
      <c r="C16" s="76"/>
      <c r="D16" s="77"/>
      <c r="E16" s="78"/>
      <c r="F16" s="75"/>
      <c r="G16" s="77"/>
      <c r="H16" s="28"/>
      <c r="K16" s="179"/>
      <c r="L16" s="179"/>
      <c r="P16" s="46"/>
      <c r="Q16" s="24"/>
      <c r="R16" s="24"/>
      <c r="S16" s="30"/>
      <c r="U16" s="111"/>
      <c r="V16" s="30"/>
      <c r="Y16" s="111"/>
      <c r="Z16" s="111"/>
    </row>
    <row r="17" spans="1:26" ht="15.75">
      <c r="A17" s="75" t="s">
        <v>265</v>
      </c>
      <c r="B17" s="75"/>
      <c r="C17" s="75"/>
      <c r="D17" s="75"/>
      <c r="E17" s="83">
        <f>+H15*2</f>
        <v>0</v>
      </c>
      <c r="F17" s="79" t="s">
        <v>11</v>
      </c>
      <c r="G17" s="77" t="s">
        <v>66</v>
      </c>
      <c r="H17" s="262">
        <f>IF(L2=3,K17,L17)</f>
        <v>0</v>
      </c>
      <c r="K17" s="139">
        <f>+K15*2</f>
        <v>0</v>
      </c>
      <c r="L17" s="139">
        <f>+L15*2</f>
        <v>0</v>
      </c>
      <c r="O17" s="47">
        <f>+O15</f>
        <v>0</v>
      </c>
      <c r="P17" s="30" t="s">
        <v>188</v>
      </c>
      <c r="Q17" s="24"/>
      <c r="R17" s="24"/>
      <c r="S17" s="30"/>
      <c r="U17" s="111"/>
      <c r="V17" s="30"/>
      <c r="Y17" s="111"/>
      <c r="Z17" s="111"/>
    </row>
    <row r="18" spans="1:26" ht="15.75">
      <c r="A18" s="75"/>
      <c r="B18" s="75"/>
      <c r="C18" s="75"/>
      <c r="D18" s="75"/>
      <c r="E18" s="83"/>
      <c r="F18" s="79" t="s">
        <v>302</v>
      </c>
      <c r="G18" s="77" t="s">
        <v>66</v>
      </c>
      <c r="H18" s="262">
        <f>IF(L2=3,K20,L20)</f>
        <v>0</v>
      </c>
      <c r="K18" s="139"/>
      <c r="L18" s="139"/>
      <c r="O18" s="47"/>
      <c r="Q18" s="24"/>
      <c r="R18" s="24"/>
      <c r="S18" s="30"/>
      <c r="U18" s="111"/>
      <c r="V18" s="30"/>
      <c r="Y18" s="111"/>
      <c r="Z18" s="111"/>
    </row>
    <row r="19" spans="1:26" ht="11.25">
      <c r="A19" s="75"/>
      <c r="B19" s="75"/>
      <c r="C19" s="75"/>
      <c r="D19" s="75"/>
      <c r="E19" s="77"/>
      <c r="F19" s="79"/>
      <c r="G19" s="77"/>
      <c r="K19" s="79"/>
      <c r="L19" s="79"/>
      <c r="P19" s="46"/>
      <c r="Q19" s="24"/>
      <c r="R19" s="24"/>
      <c r="S19" s="30"/>
      <c r="U19" s="111"/>
      <c r="V19" s="30"/>
      <c r="Y19" s="111"/>
      <c r="Z19" s="111"/>
    </row>
    <row r="20" spans="1:26" ht="15.75">
      <c r="A20" s="75" t="s">
        <v>11</v>
      </c>
      <c r="B20" s="79" t="s">
        <v>11</v>
      </c>
      <c r="C20" s="75" t="s">
        <v>11</v>
      </c>
      <c r="D20" s="75" t="s">
        <v>11</v>
      </c>
      <c r="E20" s="77" t="s">
        <v>11</v>
      </c>
      <c r="F20" s="81" t="s">
        <v>90</v>
      </c>
      <c r="G20" s="77" t="s">
        <v>66</v>
      </c>
      <c r="H20" s="262">
        <f>H18</f>
        <v>0</v>
      </c>
      <c r="I20" s="224">
        <f>IF(H20&gt;0,H20,0)</f>
        <v>0</v>
      </c>
      <c r="K20" s="92">
        <f>SUM(K13:K17)</f>
        <v>0</v>
      </c>
      <c r="L20" s="92">
        <f>SUM(L13:L17)</f>
        <v>0</v>
      </c>
      <c r="O20" s="73">
        <f>+O13+O15+O17</f>
        <v>0</v>
      </c>
      <c r="P20" s="46" t="s">
        <v>114</v>
      </c>
      <c r="Q20" s="24"/>
      <c r="R20" s="24"/>
      <c r="S20" s="30" t="s">
        <v>137</v>
      </c>
      <c r="T20" s="30" t="s">
        <v>138</v>
      </c>
      <c r="U20" s="111" t="s">
        <v>138</v>
      </c>
      <c r="V20" s="30" t="s">
        <v>138</v>
      </c>
      <c r="Y20" s="169"/>
      <c r="Z20" s="111"/>
    </row>
    <row r="21" spans="4:26" ht="12.75" customHeight="1">
      <c r="D21" s="29"/>
      <c r="E21" s="37"/>
      <c r="F21" s="38"/>
      <c r="G21" s="30"/>
      <c r="K21" s="38"/>
      <c r="L21" s="38"/>
      <c r="P21" s="46"/>
      <c r="Q21" s="24"/>
      <c r="R21" s="24"/>
      <c r="S21" s="30"/>
      <c r="U21" s="174">
        <v>0.06</v>
      </c>
      <c r="V21" s="138">
        <v>0.07</v>
      </c>
      <c r="Y21" s="269"/>
      <c r="Z21" s="174"/>
    </row>
    <row r="22" spans="4:25" ht="12" customHeight="1">
      <c r="D22" s="29"/>
      <c r="E22" s="37"/>
      <c r="F22" s="38"/>
      <c r="G22" s="30"/>
      <c r="K22" s="38"/>
      <c r="L22" s="38"/>
      <c r="P22" s="46"/>
      <c r="Q22" s="24"/>
      <c r="R22" s="24"/>
      <c r="S22" s="30">
        <f>S6</f>
        <v>850000</v>
      </c>
      <c r="T22" s="30">
        <f>$T$6</f>
        <v>850000</v>
      </c>
      <c r="U22" s="111">
        <f>U6</f>
        <v>51000</v>
      </c>
      <c r="V22" s="30">
        <f aca="true" t="shared" si="0" ref="U22:V26">V6</f>
        <v>59500.00000000001</v>
      </c>
      <c r="Y22" s="169"/>
    </row>
    <row r="23" spans="1:25" ht="12" customHeight="1">
      <c r="A23" s="106" t="s">
        <v>112</v>
      </c>
      <c r="B23" s="107"/>
      <c r="C23" s="107"/>
      <c r="D23" s="107"/>
      <c r="E23" s="107"/>
      <c r="F23" s="107"/>
      <c r="G23" s="107"/>
      <c r="J23" s="107"/>
      <c r="K23" s="183" t="str">
        <f>'INGRESO DE DATOS'!G81</f>
        <v>cat.</v>
      </c>
      <c r="L23" s="181">
        <f>'INGRESO DE DATOS'!H81</f>
        <v>3</v>
      </c>
      <c r="O23" s="107"/>
      <c r="P23" s="108"/>
      <c r="Q23" s="107"/>
      <c r="R23" s="29" t="s">
        <v>115</v>
      </c>
      <c r="S23" s="30">
        <f>S7</f>
        <v>3400000</v>
      </c>
      <c r="T23" s="30">
        <f>$T$7</f>
        <v>4250000</v>
      </c>
      <c r="U23" s="111">
        <f>U7</f>
        <v>238000</v>
      </c>
      <c r="V23" s="30">
        <f t="shared" si="0"/>
        <v>280500</v>
      </c>
      <c r="W23" s="29"/>
      <c r="Y23" s="169"/>
    </row>
    <row r="24" spans="1:25" ht="12" customHeight="1">
      <c r="A24" s="109"/>
      <c r="B24" s="110"/>
      <c r="C24" s="110"/>
      <c r="D24" s="110"/>
      <c r="E24" s="110"/>
      <c r="F24" s="110"/>
      <c r="G24" s="110"/>
      <c r="J24" s="107"/>
      <c r="K24" s="180">
        <f>IF(AND(F25&gt;0,F25&lt;=T22),6,IF(AND(F25&gt;T22,F25&lt;=T23),5.5,IF(AND(F25&gt;T23,F25&lt;=T24),5,IF(AND(F25&gt;T24,F25&lt;=T25),4.5,IF(AND(F25&gt;T25,F25&lt;=T26),4,IF(AND(F25&gt;T26),3.5,0))))))</f>
        <v>0</v>
      </c>
      <c r="L24" s="180">
        <f>IF(AND(F25&gt;0,F25&lt;=T22),7,IF(AND(F25&gt;T22,F25&lt;=T23),6.5,IF(AND(F25&gt;T23,F25&lt;=T24),6,IF(AND(F25&gt;T24,F25&lt;=T25),5.5,IF(AND(F25&gt;T25,F25&lt;=T26),5,IF(AND(F25&gt;T26),4.5,0))))))</f>
        <v>0</v>
      </c>
      <c r="O24" s="107"/>
      <c r="P24" s="108"/>
      <c r="Q24" s="107"/>
      <c r="R24" s="24"/>
      <c r="S24" s="30">
        <f>S8</f>
        <v>4250000</v>
      </c>
      <c r="T24" s="30">
        <f>T8</f>
        <v>8500000</v>
      </c>
      <c r="U24" s="111">
        <f t="shared" si="0"/>
        <v>450500</v>
      </c>
      <c r="V24" s="30">
        <f t="shared" si="0"/>
        <v>535500</v>
      </c>
      <c r="Y24" s="169"/>
    </row>
    <row r="25" spans="1:25" ht="12.75" customHeight="1">
      <c r="A25" s="107" t="s">
        <v>65</v>
      </c>
      <c r="B25" s="107"/>
      <c r="C25" s="107"/>
      <c r="D25" s="107"/>
      <c r="E25" s="111"/>
      <c r="F25" s="112">
        <f>'INGRESO DE DATOS'!$E$85</f>
        <v>0</v>
      </c>
      <c r="G25" s="111" t="s">
        <v>11</v>
      </c>
      <c r="J25" s="107"/>
      <c r="K25" s="107"/>
      <c r="L25" s="107"/>
      <c r="O25" s="107"/>
      <c r="P25" s="108"/>
      <c r="Q25" s="107"/>
      <c r="R25" s="24"/>
      <c r="S25" s="30">
        <f>S9</f>
        <v>17000000</v>
      </c>
      <c r="T25" s="30">
        <f>T9</f>
        <v>25500000</v>
      </c>
      <c r="U25" s="111">
        <f t="shared" si="0"/>
        <v>1215500</v>
      </c>
      <c r="V25" s="30">
        <f t="shared" si="0"/>
        <v>1470500</v>
      </c>
      <c r="Y25" s="169"/>
    </row>
    <row r="26" spans="1:25" ht="12.75" customHeight="1">
      <c r="A26" s="107" t="s">
        <v>9</v>
      </c>
      <c r="B26" s="107"/>
      <c r="C26" s="107"/>
      <c r="D26" s="113"/>
      <c r="E26" s="114"/>
      <c r="F26" s="115">
        <f>IF(F25&lt;=0,0,IF(AND(F25&gt;0,F25&lt;=S22),F25,IF(AND(F25&gt;S22,F25&lt;=S24),S22,IF(AND(F25&gt;S24,F25&lt;=T24),S24,IF(AND(F25&gt;T24,F25&lt;=T25),T24,IF(AND(F25&gt;T25,F25&lt;=T26),T25,IF(F25&gt;S26,T26)))))))</f>
        <v>0</v>
      </c>
      <c r="G26" s="111" t="s">
        <v>66</v>
      </c>
      <c r="H26" s="103">
        <f>IF(L23=5,L26,K26)</f>
        <v>0</v>
      </c>
      <c r="J26" s="107"/>
      <c r="K26" s="115">
        <f>IF(AND(F25&gt;0,F25&lt;=S22),F25*0.06,IF(AND(F25&gt;S22,F25&lt;=S23),U22,IF(AND(F25&gt;S23,F25&lt;=S24),U23,IF(AND(F25&gt;S24,F25&lt;=S25),U24,IF(AND(F25&gt;S25,F25&lt;=S26),U25,IF(AND(F25&gt;S26),U26,0))))))</f>
        <v>0</v>
      </c>
      <c r="L26" s="115">
        <f>IF(AND(F25&gt;0,F25&lt;=S22),F25*0.07,IF(AND(F25&gt;S22,F25&lt;=S23),V22,IF(AND(F25&gt;S23,F25&lt;=S24),V23,IF(AND(F25&gt;S24,F25&lt;=S25),V24,IF(AND(F25&gt;S25,F25&lt;=S26),V25,IF(AND(F25&gt;S26),V26,0))))))</f>
        <v>0</v>
      </c>
      <c r="O26" s="107"/>
      <c r="P26" s="108"/>
      <c r="Q26" s="107"/>
      <c r="R26" s="24"/>
      <c r="S26" s="30">
        <f>S10</f>
        <v>59500000</v>
      </c>
      <c r="T26" s="30">
        <f>T10</f>
        <v>85000000</v>
      </c>
      <c r="U26" s="111">
        <f t="shared" si="0"/>
        <v>3595500</v>
      </c>
      <c r="V26" s="30">
        <f t="shared" si="0"/>
        <v>4445500</v>
      </c>
      <c r="Y26" s="169"/>
    </row>
    <row r="27" spans="1:21" ht="12.75" customHeight="1">
      <c r="A27" s="107" t="s">
        <v>67</v>
      </c>
      <c r="B27" s="107"/>
      <c r="C27" s="107"/>
      <c r="D27" s="113" t="s">
        <v>26</v>
      </c>
      <c r="E27" s="175">
        <f>IF(L23=5,L24,K24)</f>
        <v>0</v>
      </c>
      <c r="F27" s="115">
        <f>IF(F25&gt;=0,F25-F26)</f>
        <v>0</v>
      </c>
      <c r="G27" s="111" t="s">
        <v>66</v>
      </c>
      <c r="H27" s="103">
        <f>IF(L23=5,L27,K27)</f>
        <v>0</v>
      </c>
      <c r="J27" s="107"/>
      <c r="K27" s="115">
        <f>(K24/100)*F27</f>
        <v>0</v>
      </c>
      <c r="L27" s="115">
        <f>(L24/100)*F27</f>
        <v>0</v>
      </c>
      <c r="O27" s="107"/>
      <c r="P27" s="108"/>
      <c r="Q27" s="107"/>
      <c r="R27" s="24"/>
      <c r="U27" s="111"/>
    </row>
    <row r="28" spans="1:21" ht="15.75" customHeight="1">
      <c r="A28" s="107"/>
      <c r="B28" s="107"/>
      <c r="C28" s="107"/>
      <c r="D28" s="113"/>
      <c r="E28" s="114"/>
      <c r="F28" s="107"/>
      <c r="G28" s="111" t="s">
        <v>66</v>
      </c>
      <c r="J28" s="107"/>
      <c r="K28" s="115">
        <f>+K27+K26</f>
        <v>0</v>
      </c>
      <c r="L28" s="115">
        <f>+L26+L27</f>
        <v>0</v>
      </c>
      <c r="O28" s="107"/>
      <c r="P28" s="108"/>
      <c r="Q28" s="107"/>
      <c r="R28" s="24"/>
      <c r="U28" s="111"/>
    </row>
    <row r="29" spans="1:18" ht="12" customHeight="1">
      <c r="A29" s="110" t="s">
        <v>102</v>
      </c>
      <c r="B29" s="109"/>
      <c r="C29" s="116">
        <v>0.6</v>
      </c>
      <c r="D29" s="117" t="s">
        <v>74</v>
      </c>
      <c r="E29" s="175">
        <f>IF(L23=5,L28,K28)</f>
        <v>0</v>
      </c>
      <c r="F29" s="112"/>
      <c r="G29" s="111"/>
      <c r="J29" s="107"/>
      <c r="K29" s="112"/>
      <c r="L29" s="112"/>
      <c r="O29" s="107"/>
      <c r="P29" s="108"/>
      <c r="Q29" s="107"/>
      <c r="R29" s="24"/>
    </row>
    <row r="30" spans="6:19" ht="12" customHeight="1">
      <c r="F30" s="118" t="s">
        <v>68</v>
      </c>
      <c r="G30" s="117" t="s">
        <v>66</v>
      </c>
      <c r="H30" s="261">
        <f>IF(L23=5,L30,K30)</f>
        <v>0</v>
      </c>
      <c r="I30" s="224"/>
      <c r="J30" s="107"/>
      <c r="K30" s="92">
        <f>(K28/100)*60</f>
        <v>0</v>
      </c>
      <c r="L30" s="92">
        <f>(L28/100)*60</f>
        <v>0</v>
      </c>
      <c r="O30" s="107"/>
      <c r="P30" s="108"/>
      <c r="Q30" s="107"/>
      <c r="R30" s="24"/>
      <c r="S30" s="30"/>
    </row>
    <row r="31" spans="1:25" ht="12" customHeight="1">
      <c r="A31" s="107"/>
      <c r="B31" s="107"/>
      <c r="C31" s="107"/>
      <c r="D31" s="113"/>
      <c r="E31" s="114"/>
      <c r="F31" s="112"/>
      <c r="G31" s="111"/>
      <c r="H31" s="239"/>
      <c r="I31" s="112"/>
      <c r="J31" s="107"/>
      <c r="O31" s="107"/>
      <c r="P31" s="108"/>
      <c r="Q31" s="107"/>
      <c r="R31" s="107"/>
      <c r="S31" s="111" t="s">
        <v>137</v>
      </c>
      <c r="T31" s="111" t="s">
        <v>138</v>
      </c>
      <c r="U31" s="111" t="s">
        <v>138</v>
      </c>
      <c r="V31" s="107"/>
      <c r="Y31" s="169"/>
    </row>
    <row r="32" spans="1:25" ht="12" customHeight="1">
      <c r="A32" s="25" t="s">
        <v>93</v>
      </c>
      <c r="D32" s="29"/>
      <c r="E32" s="31"/>
      <c r="P32" s="24"/>
      <c r="Q32" s="107"/>
      <c r="R32" s="107"/>
      <c r="S32" s="111"/>
      <c r="T32" s="111"/>
      <c r="U32" s="137">
        <v>0.0125</v>
      </c>
      <c r="V32" s="107"/>
      <c r="Y32" s="169"/>
    </row>
    <row r="33" spans="1:25" ht="12.75" customHeight="1">
      <c r="A33" s="24" t="s">
        <v>69</v>
      </c>
      <c r="D33" s="29"/>
      <c r="E33" s="31"/>
      <c r="P33" s="24"/>
      <c r="Q33" s="107"/>
      <c r="R33" s="226" t="s">
        <v>127</v>
      </c>
      <c r="S33" s="382">
        <v>170000</v>
      </c>
      <c r="T33" s="30">
        <f>S33</f>
        <v>170000</v>
      </c>
      <c r="U33" s="30">
        <f>S33*0.0125</f>
        <v>2125</v>
      </c>
      <c r="V33" s="107"/>
      <c r="Y33" s="169"/>
    </row>
    <row r="34" spans="1:25" ht="12" customHeight="1">
      <c r="A34" s="24" t="s">
        <v>65</v>
      </c>
      <c r="D34" s="29"/>
      <c r="E34" s="31"/>
      <c r="F34" s="38">
        <f>'INGRESO DE DATOS'!$E$94</f>
        <v>0</v>
      </c>
      <c r="G34" s="30" t="s">
        <v>11</v>
      </c>
      <c r="P34" s="24"/>
      <c r="Q34" s="107"/>
      <c r="R34" s="107"/>
      <c r="S34" s="382">
        <v>680000</v>
      </c>
      <c r="T34" s="30">
        <f>T33+S34</f>
        <v>850000</v>
      </c>
      <c r="U34" s="30">
        <f>S33*0.0125+S34*0.01</f>
        <v>8925</v>
      </c>
      <c r="V34" s="107"/>
      <c r="Y34" s="169"/>
    </row>
    <row r="35" spans="1:25" ht="11.25" customHeight="1">
      <c r="A35" s="24" t="s">
        <v>9</v>
      </c>
      <c r="D35" s="29"/>
      <c r="E35" s="37"/>
      <c r="F35" s="47">
        <f>IF(F34&lt;=0,0,IF(AND(F34&gt;0,F34&lt;=S33),F34,IF(AND(F34&gt;S33,F34&lt;=S35),S33,IF(AND(F34&gt;S35,F34&lt;=T35),S35,IF(AND(F34&gt;T35,F34&lt;=T36),T35,IF(F34&gt;T35,T36))))))</f>
        <v>0</v>
      </c>
      <c r="G35" s="30" t="s">
        <v>66</v>
      </c>
      <c r="H35" s="238">
        <f>IF(AND(F34&gt;0,F34&lt;=S33),U33,IF(AND(F34&gt;S33,F34&lt;=S35),U33,IF(AND(F34&gt;S35,F34&lt;=T35),U34,IF(AND(F34&gt;T35,F34&lt;=T36),U35,IF(AND(F34&gt;T36),U36,0)))))</f>
        <v>0</v>
      </c>
      <c r="I35" s="38"/>
      <c r="O35" s="38"/>
      <c r="P35" s="24"/>
      <c r="Q35" s="107"/>
      <c r="R35" s="107"/>
      <c r="S35" s="382">
        <v>850000</v>
      </c>
      <c r="T35" s="30">
        <f>T34+S35</f>
        <v>1700000</v>
      </c>
      <c r="U35" s="30">
        <f>S33*0.0125+S34*0.01+S35*0.007</f>
        <v>14875</v>
      </c>
      <c r="V35" s="107"/>
      <c r="Y35" s="169"/>
    </row>
    <row r="36" spans="1:25" ht="12" customHeight="1">
      <c r="A36" s="24" t="s">
        <v>67</v>
      </c>
      <c r="D36" s="29" t="s">
        <v>26</v>
      </c>
      <c r="E36" s="37">
        <f>IF(AND(F34&gt;0,F34&lt;=S33),1.25,IF(AND(F34&gt;S33,F34&lt;=S35),1,IF(AND(F34&gt;S35,F34&lt;=T35),0.7,IF(AND(F34&gt;T35,F34&lt;=T36),0.5,IF(AND(F34&gt;T36),0.3,0)))))</f>
        <v>0</v>
      </c>
      <c r="F36" s="47">
        <f>IF(F34&lt;12840,0,IF(F34&gt;=12840,F34-F35))</f>
        <v>0</v>
      </c>
      <c r="G36" s="30" t="s">
        <v>66</v>
      </c>
      <c r="H36" s="238">
        <f>(E36/100)*F36</f>
        <v>0</v>
      </c>
      <c r="I36" s="38"/>
      <c r="P36" s="24"/>
      <c r="Q36" s="107"/>
      <c r="R36" s="107"/>
      <c r="S36" s="382">
        <v>2550000</v>
      </c>
      <c r="T36" s="30">
        <f>T35+S36</f>
        <v>4250000</v>
      </c>
      <c r="U36" s="30">
        <f>S33*0.0125+S34*0.01+S35*0.007+S36*0.005</f>
        <v>27625</v>
      </c>
      <c r="V36" s="107"/>
      <c r="Y36" s="169"/>
    </row>
    <row r="37" spans="4:22" ht="17.25" customHeight="1">
      <c r="D37" s="29"/>
      <c r="E37" s="31"/>
      <c r="F37" s="28" t="s">
        <v>68</v>
      </c>
      <c r="H37" s="240">
        <f>+H35+H36</f>
        <v>0</v>
      </c>
      <c r="I37" s="72"/>
      <c r="P37" s="24"/>
      <c r="Q37" s="107"/>
      <c r="R37" s="107"/>
      <c r="S37" s="107"/>
      <c r="T37" s="111"/>
      <c r="U37" s="111"/>
      <c r="V37" s="107"/>
    </row>
    <row r="38" spans="1:22" ht="12" customHeight="1">
      <c r="A38" s="25"/>
      <c r="D38" s="29"/>
      <c r="E38" s="31"/>
      <c r="F38" s="28"/>
      <c r="H38" s="176"/>
      <c r="I38" s="32"/>
      <c r="P38" s="24"/>
      <c r="Q38" s="107"/>
      <c r="R38" s="107"/>
      <c r="S38" s="107"/>
      <c r="T38" s="111"/>
      <c r="U38" s="111"/>
      <c r="V38" s="107"/>
    </row>
    <row r="39" spans="1:22" ht="12" customHeight="1">
      <c r="A39" s="25" t="s">
        <v>94</v>
      </c>
      <c r="D39" s="29"/>
      <c r="E39" s="31"/>
      <c r="F39" s="28"/>
      <c r="H39" s="176"/>
      <c r="I39" s="32"/>
      <c r="P39" s="24"/>
      <c r="Q39" s="107"/>
      <c r="R39" s="107"/>
      <c r="S39" s="111"/>
      <c r="T39" s="111"/>
      <c r="U39" s="111"/>
      <c r="V39" s="107"/>
    </row>
    <row r="40" spans="1:25" ht="12" customHeight="1">
      <c r="A40" s="25"/>
      <c r="D40" s="29"/>
      <c r="E40" s="31"/>
      <c r="F40" s="28"/>
      <c r="H40" s="176"/>
      <c r="I40" s="32"/>
      <c r="P40" s="24"/>
      <c r="Q40" s="107"/>
      <c r="R40" s="107"/>
      <c r="S40" s="111" t="s">
        <v>137</v>
      </c>
      <c r="T40" s="111" t="s">
        <v>138</v>
      </c>
      <c r="U40" s="111" t="s">
        <v>138</v>
      </c>
      <c r="V40" s="107"/>
      <c r="Y40" s="169"/>
    </row>
    <row r="41" spans="1:25" ht="12" customHeight="1">
      <c r="A41" s="24" t="s">
        <v>70</v>
      </c>
      <c r="D41" s="29" t="s">
        <v>26</v>
      </c>
      <c r="E41" s="55" t="s">
        <v>71</v>
      </c>
      <c r="G41" s="47"/>
      <c r="H41" s="238">
        <f>+IF(D43&lt;=0,0,IF(D43*0.005&lt;P46,P46,D43*0.005))</f>
        <v>0</v>
      </c>
      <c r="I41" s="38"/>
      <c r="O41" s="47"/>
      <c r="P41" s="24"/>
      <c r="Q41" s="107"/>
      <c r="R41" s="107"/>
      <c r="S41" s="111"/>
      <c r="T41" s="111"/>
      <c r="U41" s="137">
        <v>0.02</v>
      </c>
      <c r="V41" s="107"/>
      <c r="Y41" s="169"/>
    </row>
    <row r="42" spans="1:25" ht="12" customHeight="1">
      <c r="A42" s="24" t="s">
        <v>72</v>
      </c>
      <c r="D42" s="29"/>
      <c r="E42" s="31"/>
      <c r="H42" s="238">
        <f>IF(D43=0,0,'INGRESO DE DATOS'!$K$88)</f>
        <v>0</v>
      </c>
      <c r="I42" s="38"/>
      <c r="P42" s="24"/>
      <c r="Q42" s="107"/>
      <c r="R42" s="226" t="s">
        <v>128</v>
      </c>
      <c r="S42" s="382">
        <v>85000</v>
      </c>
      <c r="T42" s="30">
        <f>S42</f>
        <v>85000</v>
      </c>
      <c r="U42" s="30">
        <f>S42*0.02</f>
        <v>1700</v>
      </c>
      <c r="V42" s="107"/>
      <c r="Y42" s="169"/>
    </row>
    <row r="43" spans="1:25" ht="12" customHeight="1">
      <c r="A43" s="24" t="s">
        <v>65</v>
      </c>
      <c r="D43" s="38">
        <f>'INGRESO DE DATOS'!$E$84</f>
        <v>0</v>
      </c>
      <c r="E43" s="31"/>
      <c r="H43" s="238"/>
      <c r="I43" s="38"/>
      <c r="P43" s="24"/>
      <c r="Q43" s="107"/>
      <c r="R43" s="107"/>
      <c r="S43" s="382">
        <v>340000</v>
      </c>
      <c r="T43" s="30">
        <f>T42+S43</f>
        <v>425000</v>
      </c>
      <c r="U43" s="30">
        <f>S42*0.02+S43*0.015</f>
        <v>6800</v>
      </c>
      <c r="V43" s="107"/>
      <c r="Y43" s="169"/>
    </row>
    <row r="44" spans="1:25" ht="9.75" customHeight="1">
      <c r="A44" s="24" t="s">
        <v>73</v>
      </c>
      <c r="D44" s="47">
        <f>IF(D43&lt;=0,0,IF(AND(D43&gt;0,D43&lt;=S42),S42,IF(AND(D43&gt;S42,D43&lt;=S44),S42,IF(AND(D43&gt;S44,D43&lt;=T44),S44,IF(AND(D43&gt;T44,D43&lt;=T45),T44,IF(D43&gt;T45,T45))))))</f>
        <v>0</v>
      </c>
      <c r="E44" s="37"/>
      <c r="G44" s="48"/>
      <c r="H44" s="238">
        <f>IF(D43&lt;=0,0,IF(D44&lt;=S42,D43*0.02,IF(D44=S44,U43,IF(D44=T44,U44,IF(D44=T45,U45,0)))))</f>
        <v>0</v>
      </c>
      <c r="I44" s="38"/>
      <c r="J44" s="49"/>
      <c r="P44" s="24"/>
      <c r="Q44" s="107"/>
      <c r="R44" s="107"/>
      <c r="S44" s="382">
        <v>425000</v>
      </c>
      <c r="T44" s="30">
        <f>T43+S44</f>
        <v>850000</v>
      </c>
      <c r="U44" s="30">
        <f>S42*0.02+S43*0.015+S44*0.01</f>
        <v>11050</v>
      </c>
      <c r="V44" s="107"/>
      <c r="Y44" s="169"/>
    </row>
    <row r="45" spans="1:25" ht="10.5" customHeight="1">
      <c r="A45" s="24" t="s">
        <v>67</v>
      </c>
      <c r="B45" s="29" t="s">
        <v>26</v>
      </c>
      <c r="C45" s="37">
        <f>IF(AND(D43&gt;0,D43&lt;=S42),2,IF(AND(D43&gt;S42,D43&lt;=S44),1.5,IF(AND(D43&gt;S44,D43&lt;=T44),1,IF(AND(D43&gt;T44,D43&lt;=T45),0.8,IF(AND(D43&gt;T45),0.5,0)))))</f>
        <v>0</v>
      </c>
      <c r="D45" s="47">
        <f>IF(D43&lt;S42,0,IF(D43&gt;=6420,D43-D44))</f>
        <v>0</v>
      </c>
      <c r="G45" s="32"/>
      <c r="H45" s="238">
        <f>+(D45*C45)/100</f>
        <v>0</v>
      </c>
      <c r="I45" s="38"/>
      <c r="P45" s="24"/>
      <c r="Q45" s="107"/>
      <c r="R45" s="107"/>
      <c r="S45" s="382">
        <v>7650000</v>
      </c>
      <c r="T45" s="30">
        <f>T44+S45</f>
        <v>8500000</v>
      </c>
      <c r="U45" s="30">
        <f>S42*0.02+S43*0.015+S44*0.01+S45*0.008</f>
        <v>72250</v>
      </c>
      <c r="V45" s="107"/>
      <c r="Y45" s="169"/>
    </row>
    <row r="46" spans="1:21" ht="14.25" customHeight="1">
      <c r="A46" s="24" t="s">
        <v>10</v>
      </c>
      <c r="H46" s="241">
        <f>IF(D43&lt;=0,0,SUM(H41:H45))</f>
        <v>0</v>
      </c>
      <c r="I46" s="224">
        <f>IF(H46&gt;0,H46,0)</f>
        <v>0</v>
      </c>
      <c r="O46" s="29" t="str">
        <f>'INGRESO DE DATOS'!J87</f>
        <v>Min. Inc. A</v>
      </c>
      <c r="P46" s="30">
        <v>690</v>
      </c>
      <c r="Q46" s="107"/>
      <c r="R46" s="107"/>
      <c r="S46" s="107"/>
      <c r="T46" s="111"/>
      <c r="U46" s="111"/>
    </row>
    <row r="47" spans="16:21" ht="9.75" customHeight="1">
      <c r="P47" s="24"/>
      <c r="Q47" s="107"/>
      <c r="R47" s="107"/>
      <c r="S47" s="107"/>
      <c r="T47" s="111"/>
      <c r="U47" s="111"/>
    </row>
    <row r="48" spans="1:21" ht="11.25">
      <c r="A48" s="106"/>
      <c r="B48" s="107"/>
      <c r="C48" s="107"/>
      <c r="D48" s="107"/>
      <c r="E48" s="107"/>
      <c r="F48" s="107"/>
      <c r="G48" s="107"/>
      <c r="H48" s="111"/>
      <c r="I48" s="107"/>
      <c r="P48" s="24"/>
      <c r="Q48" s="107"/>
      <c r="R48" s="107"/>
      <c r="S48" s="111"/>
      <c r="T48" s="111"/>
      <c r="U48" s="111"/>
    </row>
    <row r="49" spans="1:25" ht="11.25">
      <c r="A49" s="25" t="s">
        <v>110</v>
      </c>
      <c r="P49" s="24"/>
      <c r="Q49" s="107"/>
      <c r="R49" s="107"/>
      <c r="S49" s="111" t="s">
        <v>137</v>
      </c>
      <c r="T49" s="111" t="s">
        <v>138</v>
      </c>
      <c r="U49" s="111" t="s">
        <v>138</v>
      </c>
      <c r="W49" s="30"/>
      <c r="Y49" s="169"/>
    </row>
    <row r="50" spans="16:29" ht="11.25">
      <c r="P50" s="24"/>
      <c r="Q50" s="107"/>
      <c r="R50" s="107"/>
      <c r="S50" s="111"/>
      <c r="T50" s="111"/>
      <c r="U50" s="137">
        <v>0.04</v>
      </c>
      <c r="W50" s="30"/>
      <c r="Y50" s="169"/>
      <c r="AC50" s="30"/>
    </row>
    <row r="51" spans="1:29" ht="11.25">
      <c r="A51" s="24" t="s">
        <v>65</v>
      </c>
      <c r="E51" s="30"/>
      <c r="F51" s="38">
        <f>'INGRESO DE DATOS'!$E$93</f>
        <v>0</v>
      </c>
      <c r="G51" s="30" t="s">
        <v>11</v>
      </c>
      <c r="P51" s="24"/>
      <c r="Q51" s="225"/>
      <c r="R51" s="226" t="s">
        <v>151</v>
      </c>
      <c r="S51" s="111">
        <f>S6</f>
        <v>850000</v>
      </c>
      <c r="T51" s="111">
        <f>$S$51</f>
        <v>850000</v>
      </c>
      <c r="U51" s="30">
        <f>S51*0.04</f>
        <v>34000</v>
      </c>
      <c r="W51" s="30"/>
      <c r="Y51" s="169"/>
      <c r="AC51" s="30"/>
    </row>
    <row r="52" spans="1:29" ht="11.25">
      <c r="A52" s="24" t="s">
        <v>9</v>
      </c>
      <c r="D52" s="29"/>
      <c r="E52" s="37" t="s">
        <v>9</v>
      </c>
      <c r="F52" s="47">
        <f>IF(F51&lt;=0,0,IF(AND(F51&gt;0,F51&lt;=S59),F51,IF(AND(F51&gt;S59,F51&lt;=S61),S59,IF(AND(F51&gt;S61,F51&lt;=S62),S61,IF(AND(F51&gt;S62,F51&lt;=S63),S62,IF(AND(F51&gt;S63,F51&lt;=S64),S63,IF(AND(F51&gt;S64,F51&lt;=S65),S64,IF(F51&gt;S65,S65))))))))</f>
        <v>0</v>
      </c>
      <c r="G52" s="30" t="s">
        <v>66</v>
      </c>
      <c r="H52" s="238">
        <f>IF(AND(F51&gt;0,F51&lt;=S59),F51*0.05,IF(AND(F51&gt;S59,F51&lt;=S61),U59,IF(AND(F51&gt;S61,F51&lt;=S62),U60,IF(AND(F51&gt;S62,F51&lt;=S63),U61,IF(AND(F51&gt;S63,F51&lt;=S64),U62,IF(AND(F51&gt;S64),S66,0))))))</f>
        <v>0</v>
      </c>
      <c r="I52" s="38"/>
      <c r="P52" s="24"/>
      <c r="Q52" s="107"/>
      <c r="R52" s="107"/>
      <c r="S52" s="111">
        <f>S7</f>
        <v>3400000</v>
      </c>
      <c r="T52" s="111">
        <f>$S$53</f>
        <v>4250000</v>
      </c>
      <c r="U52" s="30">
        <f>S51*0.04+S52*0.035</f>
        <v>153000</v>
      </c>
      <c r="W52" s="30"/>
      <c r="Y52" s="169"/>
      <c r="AC52" s="30"/>
    </row>
    <row r="53" spans="1:29" ht="11.25">
      <c r="A53" s="24" t="s">
        <v>67</v>
      </c>
      <c r="D53" s="29" t="s">
        <v>26</v>
      </c>
      <c r="E53" s="37">
        <f>IF(AND(F51&gt;0,F51&lt;=S59),5,IF(AND(F51&gt;S59,F51&lt;=S61),4,IF(AND(F51&gt;S61,F51&lt;=S62),3,IF(AND(F51&gt;S62,F51&lt;=S63),2.5,IF(AND(F51&gt;S63,F51&lt;=S64),2,IF(AND(F51&gt;S64,F51&lt;=S65),1.5,IF(AND(F51&gt;S65),1,0)))))))</f>
        <v>0</v>
      </c>
      <c r="F53" s="47">
        <f>IF(F51&gt;=S66,S66,F51-F52)</f>
        <v>0</v>
      </c>
      <c r="G53" s="30" t="s">
        <v>66</v>
      </c>
      <c r="H53" s="238">
        <f>IF(F53=S66,Q73,IF(F53&lt;S66,(F51-F52)*E53/100,0))</f>
        <v>0</v>
      </c>
      <c r="I53" s="38"/>
      <c r="P53" s="24"/>
      <c r="Q53" s="107"/>
      <c r="R53" s="107"/>
      <c r="S53" s="111">
        <f>S8</f>
        <v>4250000</v>
      </c>
      <c r="T53" s="111">
        <f>T8</f>
        <v>8500000</v>
      </c>
      <c r="U53" s="30">
        <f>S51*0.04+S52*0.035+S53*0.03</f>
        <v>280500</v>
      </c>
      <c r="W53" s="30"/>
      <c r="Y53" s="169"/>
      <c r="AC53" s="30"/>
    </row>
    <row r="54" spans="1:29" ht="11.25">
      <c r="A54" s="24" t="s">
        <v>67</v>
      </c>
      <c r="D54" s="29" t="s">
        <v>26</v>
      </c>
      <c r="E54" s="37">
        <f>IF(F54&gt;0,0.5,0)</f>
        <v>0</v>
      </c>
      <c r="F54" s="47">
        <f>IF(F53&gt;=S66,F51-F53,0)</f>
        <v>0</v>
      </c>
      <c r="G54" s="30"/>
      <c r="H54" s="238">
        <f>IF(F54&gt;0,0.005*F54,0)</f>
        <v>0</v>
      </c>
      <c r="I54" s="38"/>
      <c r="L54" s="260"/>
      <c r="P54" s="24"/>
      <c r="Q54" s="107"/>
      <c r="R54" s="107"/>
      <c r="S54" s="111">
        <f>S9</f>
        <v>17000000</v>
      </c>
      <c r="T54" s="111">
        <f>T9</f>
        <v>25500000</v>
      </c>
      <c r="U54" s="30">
        <f>S51*0.04+S52*0.035+S53*0.03+S54*0.025</f>
        <v>705500</v>
      </c>
      <c r="W54" s="30"/>
      <c r="Y54" s="169"/>
      <c r="AC54" s="30"/>
    </row>
    <row r="55" spans="4:25" ht="15">
      <c r="D55" s="29"/>
      <c r="E55" s="37"/>
      <c r="F55" s="28" t="s">
        <v>342</v>
      </c>
      <c r="G55" s="30" t="s">
        <v>66</v>
      </c>
      <c r="H55" s="241">
        <f>+H52+H53+H54</f>
        <v>0</v>
      </c>
      <c r="I55" s="224">
        <f>IF(H55&gt;0,H55,0)</f>
        <v>0</v>
      </c>
      <c r="P55" s="24"/>
      <c r="Q55" s="107"/>
      <c r="R55" s="107"/>
      <c r="S55" s="111">
        <f>S10</f>
        <v>59500000</v>
      </c>
      <c r="T55" s="111">
        <f>T10</f>
        <v>85000000</v>
      </c>
      <c r="U55" s="30">
        <f>S51*0.04+S52*0.035+S53*0.03+S54*0.025+S55*0.02</f>
        <v>1895500</v>
      </c>
      <c r="W55" s="30"/>
      <c r="Y55" s="169"/>
    </row>
    <row r="56" spans="12:25" ht="12" customHeight="1">
      <c r="L56" s="108"/>
      <c r="P56" s="24"/>
      <c r="Q56" s="107"/>
      <c r="R56" s="107"/>
      <c r="S56" s="107"/>
      <c r="T56" s="111"/>
      <c r="U56" s="111"/>
      <c r="W56" s="30">
        <v>1.5</v>
      </c>
      <c r="Y56" s="169"/>
    </row>
    <row r="57" spans="16:25" ht="11.25" customHeight="1">
      <c r="P57" s="24"/>
      <c r="Q57" s="107"/>
      <c r="R57" s="107"/>
      <c r="S57" s="111" t="s">
        <v>137</v>
      </c>
      <c r="T57" s="111" t="s">
        <v>138</v>
      </c>
      <c r="U57" s="111" t="s">
        <v>138</v>
      </c>
      <c r="Y57" s="169"/>
    </row>
    <row r="58" spans="1:25" ht="12" customHeight="1">
      <c r="A58" s="110"/>
      <c r="B58" s="110"/>
      <c r="C58" s="110"/>
      <c r="D58" s="110"/>
      <c r="E58" s="110"/>
      <c r="F58" s="383"/>
      <c r="G58" s="110"/>
      <c r="H58" s="383"/>
      <c r="I58" s="110"/>
      <c r="O58" s="110"/>
      <c r="P58" s="24"/>
      <c r="Q58" s="107"/>
      <c r="R58" s="107"/>
      <c r="S58" s="111"/>
      <c r="T58" s="111"/>
      <c r="U58" s="137">
        <v>0.05</v>
      </c>
      <c r="Y58" s="169"/>
    </row>
    <row r="59" spans="15:25" ht="12" customHeight="1">
      <c r="O59" s="110"/>
      <c r="P59" s="24"/>
      <c r="Q59" s="107"/>
      <c r="R59" s="107"/>
      <c r="S59" s="111">
        <v>690000</v>
      </c>
      <c r="T59" s="30">
        <f>S59</f>
        <v>690000</v>
      </c>
      <c r="U59" s="30">
        <f>S59*0.05</f>
        <v>34500</v>
      </c>
      <c r="Y59" s="169"/>
    </row>
    <row r="60" spans="11:25" ht="12" customHeight="1">
      <c r="K60" s="271">
        <f>IF(AND(F6&gt;0,F6&lt;=T6),6,IF(AND(F6&gt;T6,F6&lt;=T7),5.5,IF(AND(F6&gt;S7,F6&lt;=T8),5,IF(AND(F6&gt;S8,F6&lt;=T9),4.5,IF(AND(F6&gt;S9,F6&lt;=T10),4,IF(AND(F6&gt;T10),3.5,0))))))</f>
        <v>0</v>
      </c>
      <c r="L60" s="139"/>
      <c r="O60" s="110"/>
      <c r="P60" s="24"/>
      <c r="Q60" s="225"/>
      <c r="R60" s="226" t="s">
        <v>129</v>
      </c>
      <c r="S60" s="111">
        <v>2760000</v>
      </c>
      <c r="T60" s="30">
        <f>T59+S60</f>
        <v>3450000</v>
      </c>
      <c r="U60" s="30">
        <f>S59*0.05+S60*0.04</f>
        <v>144900</v>
      </c>
      <c r="Y60" s="169"/>
    </row>
    <row r="61" spans="15:25" ht="12" customHeight="1">
      <c r="O61" s="110"/>
      <c r="P61" s="24"/>
      <c r="Q61" s="107"/>
      <c r="R61" s="107"/>
      <c r="S61" s="111">
        <v>3450000</v>
      </c>
      <c r="T61" s="30">
        <f>T60+S61</f>
        <v>6900000</v>
      </c>
      <c r="U61" s="30">
        <f>S59*0.05+S60*0.04+S61*0.03</f>
        <v>248400</v>
      </c>
      <c r="Y61" s="169"/>
    </row>
    <row r="62" spans="1:25" ht="14.25" customHeight="1">
      <c r="A62" s="34" t="s">
        <v>76</v>
      </c>
      <c r="B62" s="51"/>
      <c r="C62" s="51"/>
      <c r="D62" s="35"/>
      <c r="E62" s="35"/>
      <c r="F62" s="35"/>
      <c r="G62" s="35"/>
      <c r="H62" s="202"/>
      <c r="I62" s="75"/>
      <c r="O62" s="110"/>
      <c r="P62" s="24"/>
      <c r="Q62" s="107"/>
      <c r="R62" s="107"/>
      <c r="S62" s="111">
        <v>6900000</v>
      </c>
      <c r="T62" s="30">
        <f>T61+S62</f>
        <v>13800000</v>
      </c>
      <c r="U62" s="30">
        <f>S59*0.05+S60*0.04+S61*0.03+S62*0.025</f>
        <v>420900</v>
      </c>
      <c r="Y62" s="169"/>
    </row>
    <row r="63" spans="1:25" ht="17.25" customHeight="1">
      <c r="A63" s="33" t="s">
        <v>77</v>
      </c>
      <c r="B63" s="74"/>
      <c r="C63" s="74"/>
      <c r="D63" s="75"/>
      <c r="E63" s="75"/>
      <c r="F63" s="75"/>
      <c r="G63" s="75"/>
      <c r="H63" s="242"/>
      <c r="I63" s="75"/>
      <c r="O63" s="110"/>
      <c r="P63" s="24"/>
      <c r="Q63" s="107"/>
      <c r="R63" s="107"/>
      <c r="S63" s="111">
        <v>13800000</v>
      </c>
      <c r="T63" s="30">
        <f>T62+S63</f>
        <v>27600000</v>
      </c>
      <c r="U63" s="30">
        <f>S59*0.05+S60*0.04+S61*0.03+S62*0.025+S63*0.02</f>
        <v>696900</v>
      </c>
      <c r="Y63" s="169"/>
    </row>
    <row r="64" spans="1:25" ht="12" customHeight="1">
      <c r="A64" s="36"/>
      <c r="B64" s="75"/>
      <c r="C64" s="75"/>
      <c r="D64" s="75"/>
      <c r="E64" s="75"/>
      <c r="F64" s="75"/>
      <c r="G64" s="75"/>
      <c r="H64" s="242"/>
      <c r="I64" s="75"/>
      <c r="K64" s="187" t="s">
        <v>134</v>
      </c>
      <c r="L64" s="188">
        <f>'INGRESO DE DATOS'!$H$81</f>
        <v>3</v>
      </c>
      <c r="O64" s="110"/>
      <c r="P64" s="24"/>
      <c r="Q64" s="107"/>
      <c r="R64" s="107"/>
      <c r="S64" s="111">
        <v>27600000</v>
      </c>
      <c r="T64" s="111">
        <f>$S$65</f>
        <v>55200000</v>
      </c>
      <c r="U64" s="30">
        <f>S59*0.05+S60*0.04+S61*0.03+S62*0.025+S63*0.02+S64*0.015</f>
        <v>1110900</v>
      </c>
      <c r="Y64" s="169"/>
    </row>
    <row r="65" spans="1:21" ht="18" customHeight="1">
      <c r="A65" s="36" t="s">
        <v>64</v>
      </c>
      <c r="B65" s="75"/>
      <c r="C65" s="75"/>
      <c r="D65" s="75"/>
      <c r="E65" s="75"/>
      <c r="F65" s="75"/>
      <c r="G65" s="75"/>
      <c r="H65" s="242"/>
      <c r="I65" s="75"/>
      <c r="K65" s="186">
        <f>IF(AND(F66&gt;0,F66&lt;=T6),6,IF(AND(F66&gt;T6,F66&lt;=T7),5.5,IF(AND(F66&gt;S7,F66&lt;=T8),5,IF(AND(F66&gt;S8,F66&lt;=T9),4.5,IF(AND(F66&gt;S9,F66&lt;=T10),4,IF(AND(F66&gt;T10),3.5,0))))))</f>
        <v>0</v>
      </c>
      <c r="L65" s="186">
        <f>IF(AND(F66&gt;0,F66&lt;=T6),7,IF(AND(F66&gt;T6,F66&lt;=T7),6.5,IF(AND(F66&gt;S7,F66&lt;=T8),6,IF(AND(F66&gt;S8,F66&lt;=T9),5.5,IF(AND(F66&gt;S9,F66&lt;=T10),5,IF(AND(F66&gt;T10),4.5,0))))))</f>
        <v>0</v>
      </c>
      <c r="O65" s="110"/>
      <c r="P65" s="24"/>
      <c r="Q65" s="107"/>
      <c r="R65" s="107"/>
      <c r="S65" s="111">
        <v>55200000</v>
      </c>
      <c r="T65" s="111">
        <f>+S65+T64</f>
        <v>110400000</v>
      </c>
      <c r="U65" s="30">
        <f>S59*0.05+S60*0.04+S61*0.03+S62*0.025+S63*0.02+S64*0.015+S65*0.01</f>
        <v>1662900</v>
      </c>
    </row>
    <row r="66" spans="1:21" ht="15" customHeight="1">
      <c r="A66" s="36" t="s">
        <v>78</v>
      </c>
      <c r="B66" s="75"/>
      <c r="C66" s="75"/>
      <c r="D66" s="75"/>
      <c r="E66" s="77"/>
      <c r="F66" s="85">
        <f>'INGRESO DE DATOS'!$F$99</f>
        <v>0</v>
      </c>
      <c r="G66" s="75"/>
      <c r="H66" s="242"/>
      <c r="I66" s="75"/>
      <c r="O66" s="110"/>
      <c r="P66" s="24"/>
      <c r="Q66" s="107"/>
      <c r="R66" s="107"/>
      <c r="S66" s="111"/>
      <c r="T66" s="111"/>
      <c r="U66" s="111"/>
    </row>
    <row r="67" spans="1:21" ht="12" customHeight="1">
      <c r="A67" s="36" t="s">
        <v>79</v>
      </c>
      <c r="B67" s="75"/>
      <c r="C67" s="75"/>
      <c r="D67" s="75"/>
      <c r="E67" s="86"/>
      <c r="F67" s="139">
        <f>IF(F66&lt;=0,0,IF(AND(F66&gt;0,F66&lt;=S6),F66,IF(AND(F66&gt;S6,F66&lt;=S8),S6,IF(AND(F66&gt;S8,F66&lt;=T8),S8,IF(AND(F66&gt;T8,F66&lt;=T9),T8,IF(AND(F66&gt;T9,F66&lt;=T10),T9,IF(F66&gt;S10,T10)))))))</f>
        <v>0</v>
      </c>
      <c r="G67" s="77" t="s">
        <v>66</v>
      </c>
      <c r="H67" s="243">
        <f>IF(L64=5,L67,K67)</f>
        <v>0</v>
      </c>
      <c r="I67" s="85"/>
      <c r="K67" s="85">
        <f>IF(AND(F66&gt;0,F66&lt;=T6),F66*0.06,IF(AND(F66&gt;T6,F66&lt;=T7),U6,IF(AND(F66&gt;T7,F66&lt;=T8),U7,IF(AND(F66&gt;T8,F66&lt;=T9),U8,IF(AND(F66&gt;T9,F66&lt;=T10),U9,IF(AND(F66&gt;T10),U10,0))))))</f>
        <v>0</v>
      </c>
      <c r="L67" s="85">
        <f>IF(AND(F66&gt;0,F66&lt;=T6),F66*0.07,IF(AND(F66&gt;T6,F66&lt;=T7),V6,IF(AND(F66&gt;T7,F66&lt;=T8),V7,IF(AND(F66&gt;T8,F66&lt;=T9),V8,IF(AND(F66&gt;T9,F66&lt;=T10),V9,IF(AND(F66&gt;T10),V10,0))))))</f>
        <v>0</v>
      </c>
      <c r="O67" s="110"/>
      <c r="P67" s="24"/>
      <c r="Q67" s="111"/>
      <c r="R67" s="111"/>
      <c r="S67" s="107"/>
      <c r="T67" s="111"/>
      <c r="U67" s="111"/>
    </row>
    <row r="68" spans="1:16" ht="15" customHeight="1">
      <c r="A68" s="36" t="s">
        <v>80</v>
      </c>
      <c r="B68" s="75"/>
      <c r="C68" s="190" t="s">
        <v>26</v>
      </c>
      <c r="D68" s="191">
        <f>IF(L64=5,L65,K65)</f>
        <v>0</v>
      </c>
      <c r="E68" s="75"/>
      <c r="F68" s="139">
        <f>IF(F66&gt;=0,F66-F67)</f>
        <v>0</v>
      </c>
      <c r="G68" s="77" t="s">
        <v>66</v>
      </c>
      <c r="H68" s="243">
        <f>IF(L64=5,L68,K68)</f>
        <v>0</v>
      </c>
      <c r="I68" s="85"/>
      <c r="K68" s="85">
        <f>(K65/100)*F68</f>
        <v>0</v>
      </c>
      <c r="L68" s="85">
        <f>(L65/100)*F68</f>
        <v>0</v>
      </c>
      <c r="O68" s="110"/>
      <c r="P68" s="24"/>
    </row>
    <row r="69" spans="1:16" ht="12" customHeight="1">
      <c r="A69" s="36"/>
      <c r="B69" s="75"/>
      <c r="C69" s="75"/>
      <c r="D69" s="75"/>
      <c r="E69" s="75"/>
      <c r="F69" s="81" t="s">
        <v>81</v>
      </c>
      <c r="G69" s="75"/>
      <c r="H69" s="244">
        <f>IF(L64=5,L69,K69)</f>
        <v>0</v>
      </c>
      <c r="I69" s="92"/>
      <c r="K69" s="92">
        <f>SUM(K67:K68)</f>
        <v>0</v>
      </c>
      <c r="L69" s="92">
        <f>SUM(L67:L68)</f>
        <v>0</v>
      </c>
      <c r="O69" s="110"/>
      <c r="P69" s="24"/>
    </row>
    <row r="70" spans="1:15" ht="14.25" customHeight="1">
      <c r="A70" s="36"/>
      <c r="B70" s="75"/>
      <c r="C70" s="75"/>
      <c r="D70" s="75"/>
      <c r="E70" s="75"/>
      <c r="F70" s="81"/>
      <c r="G70" s="75"/>
      <c r="H70" s="245"/>
      <c r="I70" s="173"/>
      <c r="O70" s="110"/>
    </row>
    <row r="71" spans="1:15" ht="12" customHeight="1">
      <c r="A71" s="36" t="s">
        <v>89</v>
      </c>
      <c r="B71" s="75"/>
      <c r="C71" s="75"/>
      <c r="D71" s="75"/>
      <c r="E71" s="75"/>
      <c r="F71" s="81"/>
      <c r="G71" s="75"/>
      <c r="H71" s="245"/>
      <c r="I71" s="173"/>
      <c r="O71" s="110"/>
    </row>
    <row r="72" spans="1:15" ht="14.25" customHeight="1">
      <c r="A72" s="36" t="s">
        <v>82</v>
      </c>
      <c r="B72" s="75"/>
      <c r="C72" s="75"/>
      <c r="D72" s="75"/>
      <c r="E72" s="75"/>
      <c r="F72" s="75"/>
      <c r="G72" s="77"/>
      <c r="H72" s="235">
        <f>H69/10</f>
        <v>0</v>
      </c>
      <c r="I72" s="85"/>
      <c r="O72" s="110"/>
    </row>
    <row r="73" spans="1:15" ht="12" customHeight="1" thickBot="1">
      <c r="A73" s="36"/>
      <c r="B73" s="75"/>
      <c r="C73" s="75"/>
      <c r="D73" s="75"/>
      <c r="E73" s="75"/>
      <c r="F73" s="75"/>
      <c r="G73" s="77"/>
      <c r="H73" s="242"/>
      <c r="I73" s="75"/>
      <c r="O73" s="110"/>
    </row>
    <row r="74" spans="1:15" ht="12.75" customHeight="1">
      <c r="A74" s="40" t="s">
        <v>83</v>
      </c>
      <c r="B74" s="41"/>
      <c r="C74" s="41"/>
      <c r="D74" s="41"/>
      <c r="E74" s="41"/>
      <c r="F74" s="41"/>
      <c r="G74" s="50"/>
      <c r="H74" s="246">
        <f>IF(H81&lt;=0,0,H81/10)</f>
        <v>0</v>
      </c>
      <c r="I74" s="85"/>
      <c r="K74" s="251"/>
      <c r="L74" s="252"/>
      <c r="M74" s="252"/>
      <c r="N74" s="253"/>
      <c r="O74" s="110"/>
    </row>
    <row r="75" spans="11:15" ht="12.75" customHeight="1">
      <c r="K75" s="591" t="s">
        <v>152</v>
      </c>
      <c r="L75" s="534"/>
      <c r="M75" s="534"/>
      <c r="N75" s="592"/>
      <c r="O75" s="110"/>
    </row>
    <row r="76" spans="1:15" ht="13.5" customHeight="1">
      <c r="A76" s="42" t="s">
        <v>84</v>
      </c>
      <c r="B76" s="35"/>
      <c r="C76" s="35"/>
      <c r="D76" s="35"/>
      <c r="E76" s="52" t="s">
        <v>11</v>
      </c>
      <c r="F76" s="35"/>
      <c r="G76" s="52" t="s">
        <v>66</v>
      </c>
      <c r="H76" s="247">
        <f>+I20+I46+I55</f>
        <v>0</v>
      </c>
      <c r="I76" s="85"/>
      <c r="K76" s="254"/>
      <c r="O76" s="110"/>
    </row>
    <row r="77" spans="1:15" ht="12.75" customHeight="1">
      <c r="A77" s="36" t="s">
        <v>346</v>
      </c>
      <c r="B77" s="75"/>
      <c r="C77" s="75"/>
      <c r="D77" s="75"/>
      <c r="E77" s="77"/>
      <c r="F77" s="75"/>
      <c r="G77" s="77"/>
      <c r="H77" s="248">
        <f>IF(H20&lt;=0,0,L77)</f>
        <v>0</v>
      </c>
      <c r="K77" s="254"/>
      <c r="L77" s="236">
        <f>+IF(H20&lt;=0,0,IF(H20&lt;3450,3450,H20))</f>
        <v>0</v>
      </c>
      <c r="M77" s="586" t="s">
        <v>166</v>
      </c>
      <c r="N77" s="587"/>
      <c r="O77" s="110"/>
    </row>
    <row r="78" spans="1:15" ht="12.75" customHeight="1">
      <c r="A78" s="36" t="s">
        <v>163</v>
      </c>
      <c r="B78" s="75"/>
      <c r="C78" s="75"/>
      <c r="D78" s="75"/>
      <c r="E78" s="77"/>
      <c r="F78" s="75"/>
      <c r="G78" s="77"/>
      <c r="H78" s="248">
        <f>IF(H37&lt;=0,0,L78)</f>
        <v>0</v>
      </c>
      <c r="K78" s="254"/>
      <c r="L78" s="265">
        <v>5894</v>
      </c>
      <c r="M78" s="586" t="s">
        <v>154</v>
      </c>
      <c r="N78" s="587"/>
      <c r="O78" s="110"/>
    </row>
    <row r="79" spans="1:15" ht="15.75" customHeight="1">
      <c r="A79" s="36" t="s">
        <v>156</v>
      </c>
      <c r="B79" s="75"/>
      <c r="C79" s="75"/>
      <c r="D79" s="75"/>
      <c r="E79" s="77"/>
      <c r="F79" s="75"/>
      <c r="G79" s="77"/>
      <c r="H79" s="248">
        <f>IF(H46&lt;=0,0,L79)</f>
        <v>0</v>
      </c>
      <c r="I79" s="78"/>
      <c r="K79" s="254"/>
      <c r="L79" s="265">
        <v>5894</v>
      </c>
      <c r="M79" s="586" t="s">
        <v>155</v>
      </c>
      <c r="N79" s="587"/>
      <c r="O79" s="110"/>
    </row>
    <row r="80" spans="1:15" ht="15.75" customHeight="1">
      <c r="A80" s="36" t="s">
        <v>337</v>
      </c>
      <c r="B80" s="75"/>
      <c r="C80" s="75"/>
      <c r="D80" s="75"/>
      <c r="E80" s="77"/>
      <c r="F80" s="75"/>
      <c r="G80" s="77"/>
      <c r="H80" s="248">
        <f>IF(H55&lt;0.01,0,L80)</f>
        <v>0</v>
      </c>
      <c r="I80" s="75"/>
      <c r="K80" s="254"/>
      <c r="L80" s="265">
        <v>4250</v>
      </c>
      <c r="M80" s="588" t="s">
        <v>336</v>
      </c>
      <c r="N80" s="589"/>
      <c r="O80" s="110"/>
    </row>
    <row r="81" spans="1:15" ht="12.75" customHeight="1">
      <c r="A81" s="33" t="s">
        <v>88</v>
      </c>
      <c r="E81" s="30" t="s">
        <v>11</v>
      </c>
      <c r="G81" s="30" t="s">
        <v>66</v>
      </c>
      <c r="H81" s="268">
        <f>H79+H78+H80+L81</f>
        <v>0</v>
      </c>
      <c r="K81" s="254"/>
      <c r="L81" s="264">
        <f>IF(L77&lt;=0,0,IF(AND(L77&gt;0,L77&lt;'INGRESO DE DATOS'!L103),'INGRESO DE DATOS'!L103,L77))</f>
        <v>0</v>
      </c>
      <c r="M81" s="588" t="s">
        <v>157</v>
      </c>
      <c r="N81" s="589"/>
      <c r="O81" s="110"/>
    </row>
    <row r="82" spans="1:15" ht="20.25" customHeight="1" thickBot="1">
      <c r="A82" s="40" t="s">
        <v>13</v>
      </c>
      <c r="B82" s="41"/>
      <c r="C82" s="41"/>
      <c r="D82" s="41" t="s">
        <v>85</v>
      </c>
      <c r="E82" s="50" t="s">
        <v>11</v>
      </c>
      <c r="F82" s="41"/>
      <c r="G82" s="50" t="s">
        <v>66</v>
      </c>
      <c r="H82" s="203"/>
      <c r="I82" s="85"/>
      <c r="K82" s="256"/>
      <c r="L82" s="257"/>
      <c r="M82" s="257"/>
      <c r="N82" s="258"/>
      <c r="O82" s="110"/>
    </row>
    <row r="83" ht="13.5" customHeight="1">
      <c r="O83" s="110"/>
    </row>
    <row r="84" spans="1:15" ht="15.75" customHeight="1">
      <c r="A84" s="53" t="s">
        <v>136</v>
      </c>
      <c r="B84" s="54"/>
      <c r="C84" s="54"/>
      <c r="D84" s="54"/>
      <c r="E84" s="54"/>
      <c r="F84" s="45"/>
      <c r="G84" s="44" t="s">
        <v>66</v>
      </c>
      <c r="H84" s="237">
        <f>ROUNDUP(H81,0)</f>
        <v>0</v>
      </c>
      <c r="O84" s="110"/>
    </row>
    <row r="85" spans="11:15" ht="11.25" customHeight="1">
      <c r="K85" s="75"/>
      <c r="O85" s="110"/>
    </row>
    <row r="86" spans="12:15" ht="11.25">
      <c r="L86" s="250">
        <f>IF((H37+H46)&lt;'INGRESO DE DATOS'!L104,'INGRESO DE DATOS'!L104,H37+H46+H55+H58+L77)</f>
        <v>5894</v>
      </c>
      <c r="M86" s="586" t="s">
        <v>153</v>
      </c>
      <c r="N86" s="587"/>
      <c r="O86" s="110"/>
    </row>
    <row r="87" ht="11.25">
      <c r="O87" s="110"/>
    </row>
    <row r="88" spans="12:15" ht="11.25">
      <c r="L88" s="111"/>
      <c r="M88" s="107"/>
      <c r="N88" s="107"/>
      <c r="O88" s="110"/>
    </row>
    <row r="89" spans="9:15" ht="13.5" customHeight="1">
      <c r="I89" s="47"/>
      <c r="O89" s="110"/>
    </row>
    <row r="90" ht="11.25">
      <c r="O90" s="110"/>
    </row>
    <row r="91" spans="8:15" ht="11.25">
      <c r="H91" s="78"/>
      <c r="L91" s="107"/>
      <c r="O91" s="110"/>
    </row>
    <row r="92" ht="11.25">
      <c r="O92" s="110"/>
    </row>
    <row r="93" ht="11.25">
      <c r="Q93" s="85"/>
    </row>
    <row r="95" ht="11.25">
      <c r="R95" s="189"/>
    </row>
    <row r="97" ht="11.25">
      <c r="O97" s="249"/>
    </row>
    <row r="98" spans="15:17" ht="11.25">
      <c r="O98" s="110"/>
      <c r="P98" s="117"/>
      <c r="Q98" s="117"/>
    </row>
    <row r="99" spans="11:17" ht="11.25">
      <c r="K99" s="117"/>
      <c r="O99" s="110"/>
      <c r="P99" s="117"/>
      <c r="Q99" s="117"/>
    </row>
    <row r="100" spans="15:17" ht="12.75" customHeight="1">
      <c r="O100" s="110"/>
      <c r="P100" s="117"/>
      <c r="Q100" s="117"/>
    </row>
    <row r="101" spans="15:21" ht="12.75" customHeight="1">
      <c r="O101" s="110"/>
      <c r="P101" s="117"/>
      <c r="Q101" s="117"/>
      <c r="U101" s="263" t="s">
        <v>158</v>
      </c>
    </row>
    <row r="102" spans="15:21" ht="12.75" customHeight="1">
      <c r="O102" s="110"/>
      <c r="P102" s="117"/>
      <c r="Q102" s="117"/>
      <c r="U102" s="236" t="s">
        <v>159</v>
      </c>
    </row>
    <row r="103" spans="15:21" ht="12.75" customHeight="1">
      <c r="O103" s="110"/>
      <c r="P103" s="117"/>
      <c r="Q103" s="117"/>
      <c r="U103" s="236" t="s">
        <v>160</v>
      </c>
    </row>
    <row r="104" spans="15:21" ht="11.25">
      <c r="O104" s="110"/>
      <c r="P104" s="117"/>
      <c r="Q104" s="117"/>
      <c r="U104" s="236" t="s">
        <v>161</v>
      </c>
    </row>
    <row r="105" spans="15:21" ht="12.75" customHeight="1">
      <c r="O105" s="249"/>
      <c r="P105" s="117"/>
      <c r="Q105" s="117"/>
      <c r="U105" s="250" t="s">
        <v>162</v>
      </c>
    </row>
    <row r="106" spans="15:17" ht="11.25">
      <c r="O106" s="110"/>
      <c r="P106" s="117"/>
      <c r="Q106" s="117"/>
    </row>
    <row r="107" spans="15:17" ht="11.25">
      <c r="O107" s="110"/>
      <c r="P107" s="117"/>
      <c r="Q107" s="117"/>
    </row>
    <row r="108" spans="15:17" ht="11.25">
      <c r="O108" s="249"/>
      <c r="P108" s="117"/>
      <c r="Q108" s="117"/>
    </row>
    <row r="109" spans="15:17" ht="11.25">
      <c r="O109" s="110"/>
      <c r="P109" s="117"/>
      <c r="Q109" s="117"/>
    </row>
    <row r="110" spans="15:17" ht="11.25">
      <c r="O110" s="110"/>
      <c r="P110" s="117"/>
      <c r="Q110" s="117"/>
    </row>
    <row r="111" spans="15:17" ht="11.25">
      <c r="O111" s="110"/>
      <c r="P111" s="117"/>
      <c r="Q111" s="117"/>
    </row>
    <row r="112" spans="15:17" ht="11.25">
      <c r="O112" s="110"/>
      <c r="P112" s="117"/>
      <c r="Q112" s="117"/>
    </row>
    <row r="113" spans="15:17" ht="11.25">
      <c r="O113" s="110"/>
      <c r="P113" s="117"/>
      <c r="Q113" s="117"/>
    </row>
    <row r="114" spans="15:17" ht="11.25">
      <c r="O114" s="110"/>
      <c r="P114" s="117"/>
      <c r="Q114" s="117"/>
    </row>
    <row r="115" spans="15:17" ht="11.25">
      <c r="O115" s="110"/>
      <c r="P115" s="117"/>
      <c r="Q115" s="117"/>
    </row>
    <row r="116" spans="15:17" ht="11.25">
      <c r="O116" s="110"/>
      <c r="P116" s="117"/>
      <c r="Q116" s="117"/>
    </row>
    <row r="117" spans="15:17" ht="11.25">
      <c r="O117" s="110"/>
      <c r="P117" s="117"/>
      <c r="Q117" s="117"/>
    </row>
    <row r="118" spans="15:17" ht="11.25">
      <c r="O118" s="110"/>
      <c r="P118" s="117"/>
      <c r="Q118" s="117"/>
    </row>
    <row r="119" spans="15:17" ht="11.25">
      <c r="O119" s="110"/>
      <c r="P119" s="117"/>
      <c r="Q119" s="117"/>
    </row>
    <row r="120" spans="15:17" ht="11.25">
      <c r="O120" s="110"/>
      <c r="P120" s="117"/>
      <c r="Q120" s="117"/>
    </row>
  </sheetData>
  <sheetProtection password="CEAE" sheet="1"/>
  <mergeCells count="8">
    <mergeCell ref="M86:N86"/>
    <mergeCell ref="M81:N81"/>
    <mergeCell ref="P9:Q9"/>
    <mergeCell ref="K75:N75"/>
    <mergeCell ref="M77:N77"/>
    <mergeCell ref="M78:N78"/>
    <mergeCell ref="M79:N79"/>
    <mergeCell ref="M80:N80"/>
  </mergeCells>
  <printOptions gridLines="1"/>
  <pageMargins left="0.75" right="0.75" top="0.13" bottom="0.56" header="0.5" footer="0.55"/>
  <pageSetup horizontalDpi="120" verticalDpi="12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ROLANDO</dc:creator>
  <cp:keywords/>
  <dc:description/>
  <cp:lastModifiedBy>Server</cp:lastModifiedBy>
  <cp:lastPrinted>2018-04-10T01:31:35Z</cp:lastPrinted>
  <dcterms:created xsi:type="dcterms:W3CDTF">2010-04-21T15:47:53Z</dcterms:created>
  <dcterms:modified xsi:type="dcterms:W3CDTF">2018-09-28T17:17:22Z</dcterms:modified>
  <cp:category/>
  <cp:version/>
  <cp:contentType/>
  <cp:contentStatus/>
</cp:coreProperties>
</file>